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ietmar.ernst\Dropbox\(2) Engineer\(1) Case Study\Risk Management\2. Manual\2. Modelle Manual\"/>
    </mc:Choice>
  </mc:AlternateContent>
  <bookViews>
    <workbookView xWindow="0" yWindow="503" windowWidth="28800" windowHeight="16343" firstSheet="2" activeTab="5"/>
  </bookViews>
  <sheets>
    <sheet name="Annahmen Geldmarktfuture, FRA" sheetId="2" r:id="rId1"/>
    <sheet name="Hedging m. Geldmarktfuture, FRA" sheetId="1" r:id="rId2"/>
    <sheet name="Annahmen Zinsswaps" sheetId="9" r:id="rId3"/>
    <sheet name="Hedging mit Zinsswaps" sheetId="10" r:id="rId4"/>
    <sheet name="Annahmen Hedging mit Caps" sheetId="13" r:id="rId5"/>
    <sheet name="Hedging mit Caps" sheetId="12" r:id="rId6"/>
  </sheets>
  <externalReferences>
    <externalReference r:id="rId7"/>
  </externalReferences>
  <definedNames>
    <definedName name="__c">'[1]company data'!#REF!</definedName>
    <definedName name="_c">'[1]company data'!#REF!</definedName>
    <definedName name="b">'[1]company data'!#REF!</definedName>
    <definedName name="Beginn">'[1]key ratios '!$C$78</definedName>
  </definedNam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" i="12" l="1"/>
  <c r="E53" i="12"/>
  <c r="E43" i="12"/>
  <c r="E44" i="12"/>
  <c r="E45" i="12"/>
  <c r="E46" i="12"/>
  <c r="C103" i="1" l="1"/>
  <c r="C102" i="1"/>
  <c r="C101" i="1"/>
  <c r="C106" i="1"/>
  <c r="C107" i="1"/>
  <c r="C108" i="1"/>
  <c r="C105" i="1"/>
  <c r="C87" i="1"/>
  <c r="C85" i="1"/>
  <c r="C84" i="1"/>
  <c r="C83" i="1"/>
  <c r="C90" i="1" s="1"/>
  <c r="C44" i="12" l="1"/>
  <c r="C45" i="12"/>
  <c r="C46" i="12"/>
  <c r="C43" i="12"/>
  <c r="D46" i="12"/>
  <c r="D45" i="12"/>
  <c r="D44" i="12"/>
  <c r="D43" i="12"/>
  <c r="E7" i="12"/>
  <c r="F7" i="12"/>
  <c r="G7" i="12"/>
  <c r="H7" i="12"/>
  <c r="D7" i="12"/>
  <c r="K63" i="12" l="1"/>
  <c r="K64" i="12"/>
  <c r="K65" i="12"/>
  <c r="K66" i="12"/>
  <c r="C95" i="12"/>
  <c r="B64" i="12" l="1"/>
  <c r="C64" i="12"/>
  <c r="D64" i="12"/>
  <c r="B65" i="12"/>
  <c r="C65" i="12"/>
  <c r="D65" i="12"/>
  <c r="B66" i="12"/>
  <c r="C66" i="12"/>
  <c r="D66" i="12"/>
  <c r="C63" i="12"/>
  <c r="D63" i="12"/>
  <c r="B63" i="12"/>
  <c r="D20" i="13"/>
  <c r="D32" i="12"/>
  <c r="E32" i="12"/>
  <c r="F32" i="12"/>
  <c r="G32" i="12"/>
  <c r="H32" i="12"/>
  <c r="D14" i="12" l="1"/>
  <c r="E14" i="12" s="1"/>
  <c r="F14" i="12" s="1"/>
  <c r="F64" i="12"/>
  <c r="F65" i="12"/>
  <c r="F66" i="12"/>
  <c r="F63" i="12"/>
  <c r="D54" i="12"/>
  <c r="D55" i="12"/>
  <c r="D56" i="12"/>
  <c r="D53" i="12"/>
  <c r="F44" i="12"/>
  <c r="F45" i="12"/>
  <c r="F46" i="12"/>
  <c r="F43" i="12"/>
  <c r="D16" i="12" l="1"/>
  <c r="E15" i="12"/>
  <c r="D15" i="12"/>
  <c r="D33" i="12" s="1"/>
  <c r="G14" i="12"/>
  <c r="F17" i="9"/>
  <c r="G17" i="9"/>
  <c r="H17" i="9"/>
  <c r="E17" i="9"/>
  <c r="D17" i="12" l="1"/>
  <c r="H14" i="12"/>
  <c r="F15" i="12"/>
  <c r="E48" i="10"/>
  <c r="F48" i="10"/>
  <c r="G48" i="10"/>
  <c r="H48" i="10"/>
  <c r="D48" i="10"/>
  <c r="E17" i="12" l="1"/>
  <c r="E33" i="12"/>
  <c r="G15" i="12"/>
  <c r="F16" i="12"/>
  <c r="D18" i="12"/>
  <c r="H49" i="10"/>
  <c r="H54" i="10" s="1"/>
  <c r="F49" i="10"/>
  <c r="F54" i="10" s="1"/>
  <c r="G49" i="10"/>
  <c r="G54" i="10" s="1"/>
  <c r="E49" i="10"/>
  <c r="E54" i="10" s="1"/>
  <c r="F105" i="10"/>
  <c r="G105" i="10"/>
  <c r="H105" i="10"/>
  <c r="I105" i="10"/>
  <c r="E105" i="10"/>
  <c r="E38" i="10"/>
  <c r="E43" i="10" s="1"/>
  <c r="F38" i="10"/>
  <c r="F43" i="10" s="1"/>
  <c r="G38" i="10"/>
  <c r="H38" i="10"/>
  <c r="H43" i="10" s="1"/>
  <c r="D38" i="10"/>
  <c r="D43" i="10" s="1"/>
  <c r="C34" i="10"/>
  <c r="H40" i="10" s="1"/>
  <c r="G43" i="10"/>
  <c r="H74" i="10"/>
  <c r="D74" i="10"/>
  <c r="D76" i="10" s="1"/>
  <c r="F82" i="10"/>
  <c r="G82" i="10"/>
  <c r="H82" i="10"/>
  <c r="F72" i="10"/>
  <c r="F77" i="10" s="1"/>
  <c r="G72" i="10"/>
  <c r="G77" i="10" s="1"/>
  <c r="H72" i="10"/>
  <c r="H77" i="10" s="1"/>
  <c r="E72" i="10"/>
  <c r="E77" i="10" s="1"/>
  <c r="E18" i="10"/>
  <c r="F18" i="10"/>
  <c r="G18" i="10"/>
  <c r="H18" i="10"/>
  <c r="C4" i="10"/>
  <c r="H10" i="10" s="1"/>
  <c r="E8" i="10"/>
  <c r="F8" i="10"/>
  <c r="G8" i="10"/>
  <c r="H8" i="10"/>
  <c r="D8" i="10"/>
  <c r="D13" i="10" s="1"/>
  <c r="E35" i="12" l="1"/>
  <c r="D49" i="10"/>
  <c r="D54" i="10" s="1"/>
  <c r="E116" i="10"/>
  <c r="E129" i="10" s="1"/>
  <c r="G19" i="10"/>
  <c r="E19" i="10"/>
  <c r="C19" i="10"/>
  <c r="F19" i="10"/>
  <c r="D19" i="10"/>
  <c r="E82" i="10"/>
  <c r="C50" i="10"/>
  <c r="F50" i="10"/>
  <c r="D50" i="10"/>
  <c r="G50" i="10"/>
  <c r="E50" i="10"/>
  <c r="C40" i="10"/>
  <c r="C42" i="10" s="1"/>
  <c r="C39" i="10"/>
  <c r="C10" i="10"/>
  <c r="C12" i="10" s="1"/>
  <c r="C9" i="10"/>
  <c r="F116" i="10" l="1"/>
  <c r="F51" i="10"/>
  <c r="F52" i="10"/>
  <c r="E51" i="10"/>
  <c r="E52" i="10"/>
  <c r="D51" i="10"/>
  <c r="D52" i="10"/>
  <c r="H51" i="10"/>
  <c r="H52" i="10"/>
  <c r="G51" i="10"/>
  <c r="G52" i="10"/>
  <c r="F11" i="10"/>
  <c r="F12" i="10" s="1"/>
  <c r="H11" i="10"/>
  <c r="H12" i="10" s="1"/>
  <c r="E41" i="10"/>
  <c r="E42" i="10" s="1"/>
  <c r="E44" i="10" s="1"/>
  <c r="G41" i="10"/>
  <c r="G42" i="10" s="1"/>
  <c r="G44" i="10" s="1"/>
  <c r="D41" i="10"/>
  <c r="D42" i="10" s="1"/>
  <c r="D44" i="10" s="1"/>
  <c r="E11" i="10"/>
  <c r="E12" i="10" s="1"/>
  <c r="G11" i="10"/>
  <c r="G12" i="10" s="1"/>
  <c r="D11" i="10"/>
  <c r="D12" i="10" s="1"/>
  <c r="F41" i="10"/>
  <c r="F42" i="10" s="1"/>
  <c r="F44" i="10" s="1"/>
  <c r="H41" i="10"/>
  <c r="H42" i="10" s="1"/>
  <c r="H44" i="10" s="1"/>
  <c r="D73" i="10"/>
  <c r="E117" i="10" l="1"/>
  <c r="E106" i="10" s="1"/>
  <c r="F129" i="10"/>
  <c r="G116" i="10"/>
  <c r="F75" i="10"/>
  <c r="F76" i="10" s="1"/>
  <c r="H75" i="10"/>
  <c r="H76" i="10" s="1"/>
  <c r="G75" i="10"/>
  <c r="G76" i="10" s="1"/>
  <c r="E75" i="10"/>
  <c r="E76" i="10" s="1"/>
  <c r="D53" i="10"/>
  <c r="C44" i="10"/>
  <c r="H116" i="10" l="1"/>
  <c r="E118" i="10"/>
  <c r="G129" i="10"/>
  <c r="F117" i="10"/>
  <c r="D83" i="10"/>
  <c r="E85" i="10" s="1"/>
  <c r="H13" i="10"/>
  <c r="G13" i="10"/>
  <c r="F13" i="10"/>
  <c r="E13" i="10"/>
  <c r="D9" i="9"/>
  <c r="I116" i="10" l="1"/>
  <c r="F118" i="10"/>
  <c r="G117" i="10"/>
  <c r="H129" i="10"/>
  <c r="F119" i="10"/>
  <c r="E119" i="10"/>
  <c r="E107" i="10"/>
  <c r="H84" i="10"/>
  <c r="F84" i="10"/>
  <c r="H20" i="10"/>
  <c r="F20" i="10"/>
  <c r="D20" i="10"/>
  <c r="G84" i="10"/>
  <c r="E84" i="10"/>
  <c r="E86" i="10" s="1"/>
  <c r="G20" i="10"/>
  <c r="E20" i="10"/>
  <c r="D14" i="10"/>
  <c r="H14" i="10"/>
  <c r="D18" i="10"/>
  <c r="E14" i="10"/>
  <c r="F106" i="10"/>
  <c r="F14" i="10"/>
  <c r="E120" i="10"/>
  <c r="G14" i="10"/>
  <c r="F78" i="10"/>
  <c r="F83" i="10"/>
  <c r="E83" i="10"/>
  <c r="G83" i="10"/>
  <c r="E78" i="10"/>
  <c r="G78" i="10"/>
  <c r="F107" i="10"/>
  <c r="H78" i="10"/>
  <c r="H117" i="10" l="1"/>
  <c r="I129" i="10"/>
  <c r="G118" i="10"/>
  <c r="E53" i="10"/>
  <c r="E55" i="10" s="1"/>
  <c r="E59" i="10" s="1"/>
  <c r="D55" i="10"/>
  <c r="D59" i="10" s="1"/>
  <c r="E108" i="10"/>
  <c r="E109" i="10"/>
  <c r="D21" i="10"/>
  <c r="D22" i="10" s="1"/>
  <c r="D23" i="10" s="1"/>
  <c r="D27" i="10" s="1"/>
  <c r="E87" i="10"/>
  <c r="E91" i="10" s="1"/>
  <c r="D78" i="10"/>
  <c r="C14" i="10"/>
  <c r="G106" i="10"/>
  <c r="F108" i="10"/>
  <c r="G107" i="10"/>
  <c r="F21" i="10"/>
  <c r="F22" i="10" s="1"/>
  <c r="H106" i="10"/>
  <c r="G21" i="10"/>
  <c r="G22" i="10" s="1"/>
  <c r="H21" i="10"/>
  <c r="H22" i="10" s="1"/>
  <c r="E21" i="10"/>
  <c r="E22" i="10" s="1"/>
  <c r="H85" i="10"/>
  <c r="H86" i="10" s="1"/>
  <c r="F85" i="10"/>
  <c r="F86" i="10" s="1"/>
  <c r="G85" i="10"/>
  <c r="G86" i="10" s="1"/>
  <c r="H53" i="10" l="1"/>
  <c r="H55" i="10" s="1"/>
  <c r="H59" i="10" s="1"/>
  <c r="G53" i="10"/>
  <c r="G55" i="10" s="1"/>
  <c r="G59" i="10" s="1"/>
  <c r="F53" i="10"/>
  <c r="F55" i="10" s="1"/>
  <c r="F59" i="10" s="1"/>
  <c r="E23" i="10"/>
  <c r="E27" i="10" s="1"/>
  <c r="G23" i="10"/>
  <c r="G27" i="10" s="1"/>
  <c r="F23" i="10"/>
  <c r="F27" i="10" s="1"/>
  <c r="H23" i="10"/>
  <c r="H87" i="10"/>
  <c r="G87" i="10"/>
  <c r="F87" i="10"/>
  <c r="F91" i="10" s="1"/>
  <c r="C59" i="10" l="1"/>
  <c r="C55" i="10"/>
  <c r="C57" i="10" s="1"/>
  <c r="C23" i="10"/>
  <c r="C25" i="10" s="1"/>
  <c r="H27" i="10"/>
  <c r="C27" i="10" s="1"/>
  <c r="D87" i="10"/>
  <c r="D89" i="10" s="1"/>
  <c r="H91" i="10"/>
  <c r="G91" i="10"/>
  <c r="C61" i="10" l="1"/>
  <c r="D91" i="10"/>
  <c r="D93" i="10" s="1"/>
  <c r="C110" i="1" l="1"/>
  <c r="C50" i="1" l="1"/>
  <c r="C74" i="1" s="1"/>
  <c r="C75" i="1" s="1"/>
  <c r="C48" i="1"/>
  <c r="C49" i="1"/>
  <c r="C44" i="1"/>
  <c r="C43" i="1"/>
  <c r="C55" i="1" l="1"/>
  <c r="C62" i="1"/>
  <c r="C63" i="1" s="1"/>
  <c r="C76" i="1" s="1"/>
  <c r="E17" i="2" l="1"/>
  <c r="C34" i="1" s="1"/>
  <c r="E9" i="2"/>
  <c r="E11" i="2"/>
  <c r="C28" i="1" s="1"/>
  <c r="E10" i="2"/>
  <c r="C16" i="1"/>
  <c r="C18" i="1" s="1"/>
  <c r="C6" i="1"/>
  <c r="C5" i="1"/>
  <c r="C20" i="1" l="1"/>
  <c r="C36" i="1"/>
  <c r="C35" i="1"/>
  <c r="C29" i="1"/>
  <c r="C11" i="1"/>
  <c r="C30" i="1" s="1"/>
  <c r="C22" i="1" l="1"/>
  <c r="C21" i="1"/>
  <c r="C29" i="10" l="1"/>
  <c r="D25" i="12"/>
  <c r="E25" i="12" l="1"/>
  <c r="F25" i="12" l="1"/>
  <c r="C53" i="12"/>
  <c r="E63" i="12"/>
  <c r="L63" i="12" l="1"/>
  <c r="M63" i="12" s="1"/>
  <c r="J63" i="12" s="1"/>
  <c r="D34" i="12"/>
  <c r="F53" i="12"/>
  <c r="G53" i="12" s="1"/>
  <c r="O63" i="12" s="1"/>
  <c r="G25" i="12"/>
  <c r="F33" i="12"/>
  <c r="E16" i="12"/>
  <c r="E64" i="12"/>
  <c r="C54" i="12"/>
  <c r="E54" i="12" s="1"/>
  <c r="F54" i="12" s="1"/>
  <c r="L64" i="12" l="1"/>
  <c r="M64" i="12" s="1"/>
  <c r="J64" i="12" s="1"/>
  <c r="D35" i="12"/>
  <c r="G54" i="12"/>
  <c r="O64" i="12" s="1"/>
  <c r="I63" i="12"/>
  <c r="N63" i="12" s="1"/>
  <c r="G64" i="12"/>
  <c r="H25" i="12"/>
  <c r="G33" i="12"/>
  <c r="F34" i="12"/>
  <c r="D36" i="12"/>
  <c r="C55" i="12"/>
  <c r="E55" i="12" s="1"/>
  <c r="F55" i="12" s="1"/>
  <c r="E65" i="12"/>
  <c r="E34" i="12"/>
  <c r="L65" i="12" l="1"/>
  <c r="M65" i="12" s="1"/>
  <c r="J65" i="12" s="1"/>
  <c r="P63" i="12"/>
  <c r="G55" i="12"/>
  <c r="O65" i="12" s="1"/>
  <c r="E66" i="12"/>
  <c r="C56" i="12"/>
  <c r="E56" i="12" s="1"/>
  <c r="I64" i="12"/>
  <c r="N64" i="12" s="1"/>
  <c r="G65" i="12"/>
  <c r="P64" i="12" l="1"/>
  <c r="L66" i="12"/>
  <c r="M66" i="12" s="1"/>
  <c r="J66" i="12" s="1"/>
  <c r="F56" i="12"/>
  <c r="G56" i="12" s="1"/>
  <c r="O66" i="12" s="1"/>
  <c r="O68" i="12" s="1"/>
  <c r="I65" i="12"/>
  <c r="G66" i="12"/>
  <c r="N65" i="12" l="1"/>
  <c r="P65" i="12" s="1"/>
  <c r="I66" i="12"/>
  <c r="N66" i="12" l="1"/>
  <c r="P66" i="12" s="1"/>
  <c r="P68" i="12" s="1"/>
  <c r="N68" i="12" l="1"/>
</calcChain>
</file>

<file path=xl/sharedStrings.xml><?xml version="1.0" encoding="utf-8"?>
<sst xmlns="http://schemas.openxmlformats.org/spreadsheetml/2006/main" count="282" uniqueCount="155">
  <si>
    <t>=</t>
  </si>
  <si>
    <t>Die Kontraktgröße für den 3-M-EURIBOR-Future beträgt:</t>
  </si>
  <si>
    <t>Kontraktgröße für den 3-M-EURIBOR-Future beträgt</t>
  </si>
  <si>
    <t>Nominalwert Kassaposition</t>
  </si>
  <si>
    <t>Hedge-Ratio bzw. die Anzahl der Kontrakte:</t>
  </si>
  <si>
    <t xml:space="preserve">3-M-EURIBOR-Future am Tag des Futurekaufes </t>
  </si>
  <si>
    <t>Nehmen wir an, der 3-M-EURIBOR am Tag des Futurekaufes betrug:</t>
  </si>
  <si>
    <t>Zinsanstieg in Basispunkten</t>
  </si>
  <si>
    <t>Der 3-M-EURIBOR am Tag der Kreditaufnahme beträgt:</t>
  </si>
  <si>
    <t>Gewinn aus dem Geldmarktfuture:</t>
  </si>
  <si>
    <t xml:space="preserve">Kreditbeginn in </t>
  </si>
  <si>
    <t>Kreditlaufzeit:</t>
  </si>
  <si>
    <t>Tagen.</t>
  </si>
  <si>
    <t>Tage pro Jahr:</t>
  </si>
  <si>
    <t>Tage</t>
  </si>
  <si>
    <t>Das Unternehmen benötigt dann diese Liquidität für drei Monate.</t>
  </si>
  <si>
    <t xml:space="preserve">Eine Unternehmung hat in sechs Monaten einen Liquiditätsbedarf von EUR 10 Mio. </t>
  </si>
  <si>
    <t>Euro</t>
  </si>
  <si>
    <t>Basispunkte</t>
  </si>
  <si>
    <t>Basispunkt</t>
  </si>
  <si>
    <t>Kassaposition nach Ablauf des Futures, zu der das Unternehmen den gewünschten 3-M-EURIBOR aufnehmen möchte.</t>
  </si>
  <si>
    <t>Zinsanstieg vom Ausgangspunkt zum Tag der Kreditaufnahme:</t>
  </si>
  <si>
    <t>Verlust aus dem Geldmarktfuture:</t>
  </si>
  <si>
    <t>Zinssenkung in Basispunkten</t>
  </si>
  <si>
    <t>Finnzieller Vorteil (Gewinn) gegenüber dem 3-M-EURIBOR am Tag des Futurekaufes.</t>
  </si>
  <si>
    <t>Zinsrückgang vom Ausgangspunkt zum Tag der Kreditaufnahme:</t>
  </si>
  <si>
    <t>﻿Aufgrund ihres Ratings müsste die Unternehmung derzeit für einen Dreimonats-Kredit den 3-M-EURIBOR plus einen Risikoaufschlag von einem Prozent bezahlen.</t>
  </si>
  <si>
    <t xml:space="preserve">Als Referenzzins wird der 3-M-EURIBOR + 1 % festgelegt. </t>
  </si>
  <si>
    <t xml:space="preserve">Risikoaufschlag </t>
  </si>
  <si>
    <t>3-M-EURIBOR bei Beginn der FRA-Periode</t>
  </si>
  <si>
    <t>FRA-Zinssatz</t>
  </si>
  <si>
    <t>Gewinn aus dem FRA:</t>
  </si>
  <si>
    <t>Der oben berechnete Ausgleichsbetrag bezieht sich auf das Ende der Laufzeit.</t>
  </si>
  <si>
    <t>Diskontierungssatz:</t>
  </si>
  <si>
    <t>Diskontierungsfaktor:</t>
  </si>
  <si>
    <t>Tatsächlicher Auszahlungsbetrag zu Beginn des Forwards:</t>
  </si>
  <si>
    <t>Folgende Ausgangswert sind gegeben:</t>
  </si>
  <si>
    <t>Preis FRA</t>
  </si>
  <si>
    <t xml:space="preserve"> </t>
  </si>
  <si>
    <t xml:space="preserve">﻿Bei unserem Beispiel ießen wir unberücksichtigt, dass sich die Zinssätze für eine Geldanlage von den Zinssätzen für eine Kreditaufnahme unterscheiden. </t>
  </si>
  <si>
    <t xml:space="preserve">Hierzu werden auch die Begriffe Geldkurs und Briefkurs verwendet. </t>
  </si>
  <si>
    <t xml:space="preserve">﻿Das gleiche gilt auch für einen FRA, bei dem der FRA-Zins im Kauf höher sein wird als der Verkaufszins. </t>
  </si>
  <si>
    <t>Das Unternehmen benötigt dann diese Liquidität für drei Monate</t>
  </si>
  <si>
    <r>
      <t>﻿T</t>
    </r>
    <r>
      <rPr>
        <vertAlign val="subscript"/>
        <sz val="11"/>
        <color theme="1"/>
        <rFont val="Calibri (Textkörper)"/>
      </rPr>
      <t>GL</t>
    </r>
    <r>
      <rPr>
        <sz val="11"/>
        <color theme="1"/>
        <rFont val="Calibri"/>
        <family val="2"/>
        <scheme val="minor"/>
      </rPr>
      <t xml:space="preserve"> die Gesamtlaufzeit:</t>
    </r>
  </si>
  <si>
    <r>
      <t>﻿T</t>
    </r>
    <r>
      <rPr>
        <vertAlign val="subscript"/>
        <sz val="11"/>
        <color theme="1"/>
        <rFont val="Calibri (Textkörper)"/>
      </rPr>
      <t>VP</t>
    </r>
    <r>
      <rPr>
        <sz val="11"/>
        <color theme="1"/>
        <rFont val="Calibri"/>
        <family val="2"/>
        <scheme val="minor"/>
      </rPr>
      <t xml:space="preserve"> die Vorperiode:</t>
    </r>
  </si>
  <si>
    <r>
      <t>﻿T</t>
    </r>
    <r>
      <rPr>
        <vertAlign val="subscript"/>
        <sz val="11"/>
        <color theme="1"/>
        <rFont val="Calibri (Textkörper)"/>
      </rPr>
      <t>FRA</t>
    </r>
    <r>
      <rPr>
        <sz val="11"/>
        <color theme="1"/>
        <rFont val="Calibri"/>
        <family val="2"/>
        <scheme val="minor"/>
      </rPr>
      <t xml:space="preserve"> die Laufzeit der FRA-Periode:</t>
    </r>
  </si>
  <si>
    <r>
      <t>r</t>
    </r>
    <r>
      <rPr>
        <vertAlign val="subscript"/>
        <sz val="11"/>
        <color theme="1"/>
        <rFont val="Calibri (Textkörper)"/>
      </rPr>
      <t>GL</t>
    </r>
  </si>
  <si>
    <r>
      <t>r</t>
    </r>
    <r>
      <rPr>
        <vertAlign val="subscript"/>
        <sz val="11"/>
        <color theme="1"/>
        <rFont val="Calibri (Textkörper)"/>
      </rPr>
      <t>VL</t>
    </r>
  </si>
  <si>
    <r>
      <t>﻿T</t>
    </r>
    <r>
      <rPr>
        <vertAlign val="subscript"/>
        <sz val="11"/>
        <color theme="1"/>
        <rFont val="Calibri (Textkörper)"/>
      </rPr>
      <t>FRA</t>
    </r>
    <r>
      <rPr>
        <sz val="11"/>
        <color theme="1"/>
        <rFont val="Calibri"/>
        <family val="2"/>
        <scheme val="minor"/>
      </rPr>
      <t xml:space="preserve"> die Laufzeit der FRA-Periode: </t>
    </r>
  </si>
  <si>
    <r>
      <t>﻿r</t>
    </r>
    <r>
      <rPr>
        <vertAlign val="subscript"/>
        <sz val="11"/>
        <color theme="1"/>
        <rFont val="Calibri (Textkörper)"/>
      </rPr>
      <t>GL</t>
    </r>
    <r>
      <rPr>
        <vertAlign val="superscript"/>
        <sz val="11"/>
        <color theme="1"/>
        <rFont val="Calibri (Textkörper)"/>
      </rPr>
      <t>G</t>
    </r>
    <r>
      <rPr>
        <sz val="11"/>
        <color theme="1"/>
        <rFont val="Calibri"/>
        <family val="2"/>
        <scheme val="minor"/>
      </rPr>
      <t xml:space="preserve"> die Gesamtlaufzeit:</t>
    </r>
  </si>
  <si>
    <r>
      <t>﻿r</t>
    </r>
    <r>
      <rPr>
        <vertAlign val="subscript"/>
        <sz val="11"/>
        <color theme="1"/>
        <rFont val="Calibri (Textkörper)"/>
      </rPr>
      <t>GL</t>
    </r>
    <r>
      <rPr>
        <vertAlign val="superscript"/>
        <sz val="11"/>
        <color theme="1"/>
        <rFont val="Calibri (Textkörper)"/>
      </rPr>
      <t>B</t>
    </r>
    <r>
      <rPr>
        <sz val="11"/>
        <color theme="1"/>
        <rFont val="Calibri"/>
        <family val="2"/>
        <scheme val="minor"/>
      </rPr>
      <t xml:space="preserve"> die Gesamtlaufzeit:</t>
    </r>
  </si>
  <si>
    <r>
      <t>﻿r</t>
    </r>
    <r>
      <rPr>
        <vertAlign val="subscript"/>
        <sz val="11"/>
        <color theme="1"/>
        <rFont val="Calibri (Textkörper)"/>
      </rPr>
      <t>VP</t>
    </r>
    <r>
      <rPr>
        <vertAlign val="superscript"/>
        <sz val="11"/>
        <color theme="1"/>
        <rFont val="Calibri (Textkörper)"/>
      </rPr>
      <t>G</t>
    </r>
    <r>
      <rPr>
        <sz val="11"/>
        <color theme="1"/>
        <rFont val="Calibri"/>
        <family val="2"/>
        <scheme val="minor"/>
      </rPr>
      <t xml:space="preserve"> die Vorperiode:</t>
    </r>
  </si>
  <si>
    <r>
      <t>﻿r</t>
    </r>
    <r>
      <rPr>
        <vertAlign val="subscript"/>
        <sz val="11"/>
        <color theme="1"/>
        <rFont val="Calibri (Textkörper)"/>
      </rPr>
      <t>VP</t>
    </r>
    <r>
      <rPr>
        <sz val="11"/>
        <color theme="1"/>
        <rFont val="Calibri"/>
        <family val="2"/>
        <scheme val="minor"/>
      </rPr>
      <t xml:space="preserve"> die Vorperiode:</t>
    </r>
  </si>
  <si>
    <t>Das Unternehmen benötigt diese Liquidität für drei Monate (= 90 Tage).</t>
  </si>
  <si>
    <t xml:space="preserve">Eine Unternehmung hat einen Kapitalbedarf von EUR 10.000.000 (in EUR). </t>
  </si>
  <si>
    <t>Die relevante Kassaposition beträgt in EUR:</t>
  </si>
  <si>
    <t>Forward Rate Agreement (FRA)</t>
  </si>
  <si>
    <t>Finnzieller Nachteil (Verlust) gegenüber dem 3-M-EURIBOR am Tag des FRA-Kaufes.</t>
  </si>
  <si>
    <t>Jahre</t>
  </si>
  <si>
    <t>Swapsatz</t>
  </si>
  <si>
    <t>Barwert Festzinsseite</t>
  </si>
  <si>
    <t>Variabler Jahreszins</t>
  </si>
  <si>
    <t>Kauf Floater</t>
  </si>
  <si>
    <t>Barwert Floater</t>
  </si>
  <si>
    <t>Wert des Zinsswaps</t>
  </si>
  <si>
    <t>Barwerte Fix plus Floater</t>
  </si>
  <si>
    <t>Swapbetrag</t>
  </si>
  <si>
    <t>Zinsen</t>
  </si>
  <si>
    <t>Diskontierungsfaktor</t>
  </si>
  <si>
    <t>t(0)</t>
  </si>
  <si>
    <t>t(1)</t>
  </si>
  <si>
    <t>t(2)</t>
  </si>
  <si>
    <t>t(3)</t>
  </si>
  <si>
    <t>t(4)</t>
  </si>
  <si>
    <t>Zahlungen der Festzinsseite</t>
  </si>
  <si>
    <t>Verkauf der Festzinsanleihe</t>
  </si>
  <si>
    <t>Zahlungen des Floaters</t>
  </si>
  <si>
    <t>Check</t>
  </si>
  <si>
    <t>Abschluss zum Swapsatz</t>
  </si>
  <si>
    <t>1 Jahr nach Abschluss verschiebt sich die Zinsstrukturkurve um 50 Basispunkte</t>
  </si>
  <si>
    <t>Verschiebung des Zinsstrukturkurve um:</t>
  </si>
  <si>
    <t>Modellierung über Forward Rate Agreement</t>
  </si>
  <si>
    <t>Zahlungen aus dem FRA(t;1)</t>
  </si>
  <si>
    <t>Aufnahme und Tilgung</t>
  </si>
  <si>
    <t>Verkauf Floater</t>
  </si>
  <si>
    <t>Kauf FRA(t;1)</t>
  </si>
  <si>
    <t>Verkauf FRA(t;1)</t>
  </si>
  <si>
    <t>Barwerte FRA plus Floater</t>
  </si>
  <si>
    <t>Kauf des Floaters</t>
  </si>
  <si>
    <t>Barwert Forward Rate Agreement</t>
  </si>
  <si>
    <t>Abschluss im Jahr</t>
  </si>
  <si>
    <t>Laufzeit in Jahren</t>
  </si>
  <si>
    <t>FRA-Sätze</t>
  </si>
  <si>
    <t>Zerobond-Abzinsungsfaktoren</t>
  </si>
  <si>
    <t>Ausgangssituation</t>
  </si>
  <si>
    <t>Geldmarktfutures</t>
  </si>
  <si>
    <t>Forward Rate Agrrements</t>
  </si>
  <si>
    <t>Berechnung des Hedge-Ratio</t>
  </si>
  <si>
    <t>Gehen wir nun davon aus, dass die Zinsen des 3-M-EURIBOR nach sechs Monaten 
um zwei Basispunkte gestiegen sind:</t>
  </si>
  <si>
    <t>Berechnung des Basispunktwerts und des Gewinn aus dem Geldmarktfuture</t>
  </si>
  <si>
    <t>Basispunktwert:</t>
  </si>
  <si>
    <t>Berechnung des Gewinns/Verlusts aus der Kassaposition</t>
  </si>
  <si>
    <t>Situation, wenn Dreimonatszinsen auf 3% sinken</t>
  </si>
  <si>
    <t xml:space="preserve">Da die Unternehmung mit steigenden Zinsen rechnet, kauft sie einen FRA 
zum FRA-Zins von 4,0 %. </t>
  </si>
  <si>
    <t xml:space="preserve">﻿Zwei Tage vor Beginn der FRA-Periode beträgt der 3-M-EURIBOR 5,0 %. 
Damit wird der Referenzzinssatz bei 6,0 % fixiert. </t>
  </si>
  <si>
    <t>Gewinn/Verlust aus dem Frau</t>
  </si>
  <si>
    <t>Gewinn/Verlust aus der Kassaposition bei Kreditaufnahme</t>
  </si>
  <si>
    <t>Tatsächlicher Auszahlungsbetrag zu Beginn des Forwards</t>
  </si>
  <si>
    <t xml:space="preserve">In unserem Beispiel beträgt die Laufzeit des FRA 30 Tage. </t>
  </si>
  <si>
    <t>﻿Da die Ausgleichszahlung bereits zu Beginn der FRA-Periode ausbezahlt wird und nicht wie Zinszahlungen üblich am Ende des Zinszeitraums, 
müssen wir diesen Betrag mit dem aktuellen Zinssatz diskontieren.</t>
  </si>
  <si>
    <t>Berechnung des Preises des FRA, d.h. des FRA-Zinssatzes</t>
  </si>
  <si>
    <t>Berechnung des Preises des FRA, d.h. des FRA-Zinssatzes unter Berücksichtigung des Geldkurses und Briefkurses</t>
  </si>
  <si>
    <t>Finanzieller Nachteil (Verlust) gegenüber dem 3-M-EURIBOR 
am Tag des Futurekaufes:</t>
  </si>
  <si>
    <t>Kassazinssätze r(0;t)</t>
  </si>
  <si>
    <t>Kassazinssätze r(0;T)</t>
  </si>
  <si>
    <t>FRA-Zinssätze r(t;1)</t>
  </si>
  <si>
    <t xml:space="preserve">Zeitpunkt (t) </t>
  </si>
  <si>
    <t xml:space="preserve">Basiszins </t>
  </si>
  <si>
    <t xml:space="preserve">Referenzzins </t>
  </si>
  <si>
    <t xml:space="preserve">Differenz 
der Zinssätze </t>
  </si>
  <si>
    <t xml:space="preserve">Ausgleichszahlung 
in EUR </t>
  </si>
  <si>
    <t xml:space="preserve">Basiszins (X) </t>
  </si>
  <si>
    <t xml:space="preserve">Innerer Wert 
der Caplets in tGZ in EUR </t>
  </si>
  <si>
    <t xml:space="preserve">Zinsdifferenz 
max (FR-X,0) </t>
  </si>
  <si>
    <t>Innerer Wert 
der Caplets 
in t0 in EUR</t>
  </si>
  <si>
    <t>Exkurs: Bestimmung von FRA-Zinssätzen über Zerobond-Abzinsungsfaktoren</t>
  </si>
  <si>
    <t>Zerobond-Zinssätz</t>
  </si>
  <si>
    <t>Caplet Nr.</t>
  </si>
  <si>
    <t>N(d1)</t>
  </si>
  <si>
    <t>N(d2)</t>
  </si>
  <si>
    <t>Volatilität</t>
  </si>
  <si>
    <t>d1</t>
  </si>
  <si>
    <t>d2</t>
  </si>
  <si>
    <t>Preis des Caps (Summe der Caplets):</t>
  </si>
  <si>
    <t>Bestimmung von FRA-Zinssätzen über Zerobond-Abzinsungsfaktoren</t>
  </si>
  <si>
    <t>Zerobond-Zinssätze</t>
  </si>
  <si>
    <t>Kontraktvolumen (KV):</t>
  </si>
  <si>
    <t xml:space="preserve">Innerer Wert </t>
  </si>
  <si>
    <t>Zeitwert</t>
  </si>
  <si>
    <t>Preise
der Caplets</t>
  </si>
  <si>
    <t xml:space="preserve">Forward Rate 
FR(t,1) </t>
  </si>
  <si>
    <t>Absicherungszeitraum in Tagen</t>
  </si>
  <si>
    <t>Absicherungszeitraum in Jahren</t>
  </si>
  <si>
    <t>Vorlaufzeit (VZ)
in Jahren</t>
  </si>
  <si>
    <t>Gesamtlaufzeit (GZ)
in Jahren</t>
  </si>
  <si>
    <t>Berechnung der Ausgleichszahlung</t>
  </si>
  <si>
    <t>Berechnung des inneren Werts</t>
  </si>
  <si>
    <t>Berechnung des Optionspreises</t>
  </si>
  <si>
    <t>Gewinn aus dem Geldmarktfuture unter Berücksichtigung der Anzahl der Kontrakte</t>
  </si>
  <si>
    <t>Verlust unter Berücksichtigung der Anzahl der Kontrakte</t>
  </si>
  <si>
    <t>Preis des Forward Rate Agrrements</t>
  </si>
  <si>
    <t xml:space="preserve">Zeitpunkt </t>
  </si>
  <si>
    <t>Vorlaufzeit 
(VZ)</t>
  </si>
  <si>
    <t>Gesamtlaufzeit 
(GL)</t>
  </si>
  <si>
    <t xml:space="preserve">Forward Rate 
FRA(t,1)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</si>
</sst>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0.0%"/>
    <numFmt numFmtId="165" formatCode="0.0000"/>
    <numFmt numFmtId="166" formatCode="#,##0.0"/>
    <numFmt numFmtId="167" formatCode="0.000000"/>
    <numFmt numFmtId="168" formatCode="0.00000"/>
    <numFmt numFmtId="169" formatCode="0.0000%"/>
  </numFmts>
  <fonts count="28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 (Textkörper)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 (Textkörper)"/>
    </font>
    <font>
      <vertAlign val="superscript"/>
      <sz val="11"/>
      <color theme="1"/>
      <name val="Calibri (Textkörper)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0"/>
      <name val="Calibri (Textkörper)"/>
    </font>
    <font>
      <sz val="8"/>
      <color theme="1"/>
      <name val="Calibri"/>
      <family val="2"/>
      <scheme val="minor"/>
    </font>
    <font>
      <sz val="9"/>
      <color theme="0"/>
      <name val="Calibri (Textkörper)"/>
    </font>
    <font>
      <sz val="8"/>
      <color theme="0"/>
      <name val="Calibri (Textkörper)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10"/>
      <color rgb="FFFF0000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9">
    <xf numFmtId="0" fontId="0" fillId="0" borderId="0"/>
    <xf numFmtId="9" fontId="5" fillId="0" borderId="0" applyFont="0" applyFill="0" applyBorder="0" applyAlignment="0" applyProtection="0"/>
    <xf numFmtId="0" fontId="6" fillId="5" borderId="0"/>
    <xf numFmtId="0" fontId="7" fillId="0" borderId="0"/>
    <xf numFmtId="9" fontId="7" fillId="0" borderId="0" applyFont="0" applyFill="0" applyBorder="0" applyAlignment="0" applyProtection="0"/>
    <xf numFmtId="0" fontId="9" fillId="0" borderId="0"/>
    <xf numFmtId="0" fontId="9" fillId="0" borderId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255">
    <xf numFmtId="0" fontId="0" fillId="0" borderId="0" xfId="0"/>
    <xf numFmtId="0" fontId="11" fillId="0" borderId="0" xfId="0" applyFont="1"/>
    <xf numFmtId="0" fontId="9" fillId="0" borderId="0" xfId="0" applyFont="1"/>
    <xf numFmtId="0" fontId="9" fillId="4" borderId="0" xfId="0" applyFont="1" applyFill="1"/>
    <xf numFmtId="0" fontId="9" fillId="0" borderId="1" xfId="0" applyFont="1" applyBorder="1"/>
    <xf numFmtId="0" fontId="15" fillId="0" borderId="0" xfId="6" applyFont="1" applyAlignment="1"/>
    <xf numFmtId="3" fontId="15" fillId="3" borderId="0" xfId="6" applyNumberFormat="1" applyFont="1" applyFill="1" applyAlignment="1"/>
    <xf numFmtId="0" fontId="15" fillId="4" borderId="0" xfId="6" applyFont="1" applyFill="1" applyAlignment="1"/>
    <xf numFmtId="0" fontId="14" fillId="0" borderId="0" xfId="6" applyFont="1" applyAlignment="1"/>
    <xf numFmtId="3" fontId="15" fillId="7" borderId="0" xfId="6" applyNumberFormat="1" applyFont="1" applyFill="1" applyAlignment="1"/>
    <xf numFmtId="0" fontId="15" fillId="7" borderId="0" xfId="6" applyFont="1" applyFill="1" applyAlignment="1"/>
    <xf numFmtId="10" fontId="15" fillId="3" borderId="0" xfId="6" applyNumberFormat="1" applyFont="1" applyFill="1" applyAlignment="1"/>
    <xf numFmtId="165" fontId="15" fillId="3" borderId="0" xfId="6" applyNumberFormat="1" applyFont="1" applyFill="1" applyAlignment="1"/>
    <xf numFmtId="0" fontId="14" fillId="4" borderId="0" xfId="6" applyFont="1" applyFill="1" applyAlignment="1"/>
    <xf numFmtId="9" fontId="8" fillId="7" borderId="0" xfId="7" applyFont="1" applyFill="1" applyAlignment="1"/>
    <xf numFmtId="164" fontId="15" fillId="0" borderId="0" xfId="6" applyNumberFormat="1" applyFont="1" applyAlignment="1"/>
    <xf numFmtId="3" fontId="15" fillId="3" borderId="4" xfId="6" applyNumberFormat="1" applyFont="1" applyFill="1" applyBorder="1" applyAlignment="1"/>
    <xf numFmtId="10" fontId="15" fillId="0" borderId="0" xfId="6" applyNumberFormat="1" applyFont="1" applyAlignment="1"/>
    <xf numFmtId="10" fontId="8" fillId="0" borderId="0" xfId="7" applyNumberFormat="1" applyFont="1" applyAlignment="1"/>
    <xf numFmtId="0" fontId="7" fillId="0" borderId="0" xfId="3" applyAlignment="1"/>
    <xf numFmtId="3" fontId="15" fillId="3" borderId="14" xfId="6" applyNumberFormat="1" applyFont="1" applyFill="1" applyBorder="1" applyAlignment="1"/>
    <xf numFmtId="3" fontId="15" fillId="7" borderId="0" xfId="6" applyNumberFormat="1" applyFont="1" applyFill="1" applyBorder="1" applyAlignment="1"/>
    <xf numFmtId="10" fontId="15" fillId="7" borderId="0" xfId="6" applyNumberFormat="1" applyFont="1" applyFill="1" applyBorder="1" applyAlignment="1"/>
    <xf numFmtId="3" fontId="15" fillId="3" borderId="0" xfId="6" applyNumberFormat="1" applyFont="1" applyFill="1" applyBorder="1" applyAlignment="1"/>
    <xf numFmtId="3" fontId="15" fillId="4" borderId="0" xfId="6" applyNumberFormat="1" applyFont="1" applyFill="1" applyBorder="1" applyAlignment="1"/>
    <xf numFmtId="0" fontId="15" fillId="4" borderId="0" xfId="6" applyFont="1" applyFill="1" applyBorder="1" applyAlignment="1"/>
    <xf numFmtId="10" fontId="15" fillId="4" borderId="0" xfId="6" applyNumberFormat="1" applyFont="1" applyFill="1" applyBorder="1" applyAlignment="1"/>
    <xf numFmtId="10" fontId="8" fillId="4" borderId="0" xfId="7" applyNumberFormat="1" applyFont="1" applyFill="1" applyBorder="1" applyAlignment="1"/>
    <xf numFmtId="0" fontId="14" fillId="4" borderId="0" xfId="6" applyFont="1" applyFill="1" applyBorder="1" applyAlignment="1"/>
    <xf numFmtId="165" fontId="15" fillId="4" borderId="0" xfId="6" applyNumberFormat="1" applyFont="1" applyFill="1" applyBorder="1" applyAlignment="1"/>
    <xf numFmtId="164" fontId="15" fillId="4" borderId="0" xfId="6" applyNumberFormat="1" applyFont="1" applyFill="1" applyBorder="1" applyAlignment="1"/>
    <xf numFmtId="0" fontId="10" fillId="4" borderId="0" xfId="5" applyFont="1" applyFill="1" applyBorder="1" applyAlignment="1">
      <alignment horizontal="right"/>
    </xf>
    <xf numFmtId="0" fontId="7" fillId="4" borderId="0" xfId="3" applyFill="1" applyBorder="1" applyAlignment="1"/>
    <xf numFmtId="0" fontId="10" fillId="6" borderId="2" xfId="5" applyFont="1" applyFill="1" applyBorder="1" applyAlignment="1"/>
    <xf numFmtId="0" fontId="10" fillId="6" borderId="5" xfId="5" applyFont="1" applyFill="1" applyBorder="1" applyAlignment="1"/>
    <xf numFmtId="0" fontId="10" fillId="6" borderId="3" xfId="5" applyFont="1" applyFill="1" applyBorder="1" applyAlignment="1"/>
    <xf numFmtId="0" fontId="10" fillId="6" borderId="7" xfId="5" applyFont="1" applyFill="1" applyBorder="1" applyAlignment="1"/>
    <xf numFmtId="0" fontId="15" fillId="0" borderId="7" xfId="6" applyFont="1" applyBorder="1" applyAlignment="1"/>
    <xf numFmtId="0" fontId="15" fillId="7" borderId="0" xfId="6" applyFont="1" applyFill="1" applyBorder="1" applyAlignment="1"/>
    <xf numFmtId="10" fontId="15" fillId="3" borderId="0" xfId="6" applyNumberFormat="1" applyFont="1" applyFill="1" applyBorder="1" applyAlignment="1"/>
    <xf numFmtId="10" fontId="15" fillId="3" borderId="8" xfId="6" applyNumberFormat="1" applyFont="1" applyFill="1" applyBorder="1" applyAlignment="1"/>
    <xf numFmtId="169" fontId="15" fillId="3" borderId="0" xfId="6" applyNumberFormat="1" applyFont="1" applyFill="1" applyBorder="1" applyAlignment="1"/>
    <xf numFmtId="3" fontId="15" fillId="3" borderId="8" xfId="6" applyNumberFormat="1" applyFont="1" applyFill="1" applyBorder="1" applyAlignment="1"/>
    <xf numFmtId="165" fontId="15" fillId="3" borderId="0" xfId="6" applyNumberFormat="1" applyFont="1" applyFill="1" applyBorder="1" applyAlignment="1"/>
    <xf numFmtId="165" fontId="15" fillId="3" borderId="8" xfId="6" applyNumberFormat="1" applyFont="1" applyFill="1" applyBorder="1" applyAlignment="1"/>
    <xf numFmtId="0" fontId="14" fillId="0" borderId="7" xfId="6" applyFont="1" applyBorder="1" applyAlignment="1"/>
    <xf numFmtId="0" fontId="14" fillId="4" borderId="7" xfId="6" applyFont="1" applyFill="1" applyBorder="1" applyAlignment="1"/>
    <xf numFmtId="9" fontId="8" fillId="4" borderId="0" xfId="7" applyFont="1" applyFill="1" applyBorder="1" applyAlignment="1"/>
    <xf numFmtId="3" fontId="15" fillId="4" borderId="8" xfId="6" applyNumberFormat="1" applyFont="1" applyFill="1" applyBorder="1" applyAlignment="1"/>
    <xf numFmtId="9" fontId="8" fillId="7" borderId="0" xfId="7" applyFont="1" applyFill="1" applyBorder="1" applyAlignment="1"/>
    <xf numFmtId="164" fontId="15" fillId="7" borderId="8" xfId="6" applyNumberFormat="1" applyFont="1" applyFill="1" applyBorder="1" applyAlignment="1"/>
    <xf numFmtId="10" fontId="15" fillId="0" borderId="0" xfId="6" applyNumberFormat="1" applyFont="1" applyBorder="1" applyAlignment="1"/>
    <xf numFmtId="10" fontId="15" fillId="0" borderId="8" xfId="6" applyNumberFormat="1" applyFont="1" applyBorder="1" applyAlignment="1"/>
    <xf numFmtId="10" fontId="15" fillId="4" borderId="8" xfId="6" applyNumberFormat="1" applyFont="1" applyFill="1" applyBorder="1" applyAlignment="1"/>
    <xf numFmtId="0" fontId="14" fillId="4" borderId="13" xfId="6" applyFont="1" applyFill="1" applyBorder="1" applyAlignment="1"/>
    <xf numFmtId="3" fontId="15" fillId="4" borderId="1" xfId="6" applyNumberFormat="1" applyFont="1" applyFill="1" applyBorder="1" applyAlignment="1"/>
    <xf numFmtId="3" fontId="15" fillId="4" borderId="10" xfId="6" applyNumberFormat="1" applyFont="1" applyFill="1" applyBorder="1" applyAlignment="1"/>
    <xf numFmtId="0" fontId="15" fillId="0" borderId="2" xfId="6" applyFont="1" applyBorder="1" applyAlignment="1"/>
    <xf numFmtId="0" fontId="15" fillId="7" borderId="5" xfId="6" applyFont="1" applyFill="1" applyBorder="1" applyAlignment="1"/>
    <xf numFmtId="10" fontId="15" fillId="3" borderId="5" xfId="6" applyNumberFormat="1" applyFont="1" applyFill="1" applyBorder="1" applyAlignment="1"/>
    <xf numFmtId="10" fontId="15" fillId="3" borderId="3" xfId="6" applyNumberFormat="1" applyFont="1" applyFill="1" applyBorder="1" applyAlignment="1"/>
    <xf numFmtId="0" fontId="14" fillId="0" borderId="13" xfId="6" applyFont="1" applyBorder="1" applyAlignment="1"/>
    <xf numFmtId="3" fontId="15" fillId="3" borderId="1" xfId="6" applyNumberFormat="1" applyFont="1" applyFill="1" applyBorder="1" applyAlignment="1"/>
    <xf numFmtId="3" fontId="15" fillId="3" borderId="10" xfId="6" applyNumberFormat="1" applyFont="1" applyFill="1" applyBorder="1" applyAlignment="1"/>
    <xf numFmtId="3" fontId="15" fillId="3" borderId="9" xfId="6" applyNumberFormat="1" applyFont="1" applyFill="1" applyBorder="1" applyAlignment="1"/>
    <xf numFmtId="3" fontId="15" fillId="3" borderId="15" xfId="6" applyNumberFormat="1" applyFont="1" applyFill="1" applyBorder="1" applyAlignment="1"/>
    <xf numFmtId="0" fontId="16" fillId="6" borderId="0" xfId="5" applyFont="1" applyFill="1" applyBorder="1" applyAlignment="1">
      <alignment horizontal="center"/>
    </xf>
    <xf numFmtId="0" fontId="16" fillId="6" borderId="8" xfId="5" applyFont="1" applyFill="1" applyBorder="1" applyAlignment="1">
      <alignment horizontal="center"/>
    </xf>
    <xf numFmtId="0" fontId="15" fillId="0" borderId="0" xfId="6" applyFont="1" applyBorder="1" applyAlignment="1"/>
    <xf numFmtId="0" fontId="15" fillId="0" borderId="8" xfId="6" applyFont="1" applyBorder="1" applyAlignment="1"/>
    <xf numFmtId="0" fontId="15" fillId="0" borderId="13" xfId="6" applyFont="1" applyBorder="1" applyAlignment="1"/>
    <xf numFmtId="0" fontId="15" fillId="0" borderId="1" xfId="6" applyFont="1" applyBorder="1" applyAlignment="1"/>
    <xf numFmtId="0" fontId="15" fillId="0" borderId="10" xfId="6" applyFont="1" applyBorder="1" applyAlignment="1"/>
    <xf numFmtId="10" fontId="15" fillId="7" borderId="8" xfId="6" applyNumberFormat="1" applyFont="1" applyFill="1" applyBorder="1" applyAlignment="1"/>
    <xf numFmtId="0" fontId="10" fillId="4" borderId="0" xfId="5" applyFont="1" applyFill="1" applyBorder="1" applyAlignment="1"/>
    <xf numFmtId="3" fontId="15" fillId="7" borderId="8" xfId="6" applyNumberFormat="1" applyFont="1" applyFill="1" applyBorder="1" applyAlignment="1"/>
    <xf numFmtId="0" fontId="14" fillId="4" borderId="2" xfId="6" applyFont="1" applyFill="1" applyBorder="1" applyAlignment="1"/>
    <xf numFmtId="3" fontId="15" fillId="4" borderId="5" xfId="6" applyNumberFormat="1" applyFont="1" applyFill="1" applyBorder="1" applyAlignment="1"/>
    <xf numFmtId="3" fontId="15" fillId="4" borderId="3" xfId="6" applyNumberFormat="1" applyFont="1" applyFill="1" applyBorder="1" applyAlignment="1"/>
    <xf numFmtId="0" fontId="15" fillId="4" borderId="1" xfId="6" applyFont="1" applyFill="1" applyBorder="1" applyAlignment="1"/>
    <xf numFmtId="0" fontId="15" fillId="0" borderId="0" xfId="6" applyFont="1" applyAlignment="1">
      <alignment horizontal="center" vertical="center" textRotation="90"/>
    </xf>
    <xf numFmtId="10" fontId="15" fillId="3" borderId="4" xfId="6" applyNumberFormat="1" applyFont="1" applyFill="1" applyBorder="1" applyAlignment="1"/>
    <xf numFmtId="0" fontId="18" fillId="6" borderId="5" xfId="5" applyFont="1" applyFill="1" applyBorder="1" applyAlignment="1"/>
    <xf numFmtId="0" fontId="20" fillId="4" borderId="0" xfId="6" applyFont="1" applyFill="1" applyAlignment="1"/>
    <xf numFmtId="0" fontId="21" fillId="4" borderId="0" xfId="6" applyFont="1" applyFill="1" applyAlignment="1"/>
    <xf numFmtId="0" fontId="22" fillId="4" borderId="0" xfId="3" applyFont="1" applyFill="1" applyAlignment="1"/>
    <xf numFmtId="167" fontId="15" fillId="3" borderId="0" xfId="6" applyNumberFormat="1" applyFont="1" applyFill="1" applyBorder="1" applyAlignment="1"/>
    <xf numFmtId="168" fontId="15" fillId="3" borderId="0" xfId="6" applyNumberFormat="1" applyFont="1" applyFill="1" applyBorder="1" applyAlignment="1"/>
    <xf numFmtId="168" fontId="15" fillId="7" borderId="8" xfId="6" applyNumberFormat="1" applyFont="1" applyFill="1" applyBorder="1" applyAlignment="1"/>
    <xf numFmtId="0" fontId="15" fillId="7" borderId="8" xfId="6" applyFont="1" applyFill="1" applyBorder="1" applyAlignment="1"/>
    <xf numFmtId="0" fontId="10" fillId="6" borderId="9" xfId="5" applyFont="1" applyFill="1" applyBorder="1" applyAlignment="1"/>
    <xf numFmtId="167" fontId="15" fillId="3" borderId="1" xfId="6" applyNumberFormat="1" applyFont="1" applyFill="1" applyBorder="1" applyAlignment="1"/>
    <xf numFmtId="0" fontId="15" fillId="7" borderId="1" xfId="6" applyFont="1" applyFill="1" applyBorder="1" applyAlignment="1"/>
    <xf numFmtId="0" fontId="15" fillId="7" borderId="10" xfId="6" applyFont="1" applyFill="1" applyBorder="1" applyAlignment="1"/>
    <xf numFmtId="0" fontId="15" fillId="3" borderId="0" xfId="6" applyFont="1" applyFill="1" applyBorder="1" applyAlignment="1"/>
    <xf numFmtId="0" fontId="15" fillId="3" borderId="1" xfId="6" applyFont="1" applyFill="1" applyBorder="1" applyAlignment="1"/>
    <xf numFmtId="0" fontId="14" fillId="4" borderId="16" xfId="6" applyFont="1" applyFill="1" applyBorder="1" applyAlignment="1"/>
    <xf numFmtId="3" fontId="15" fillId="4" borderId="16" xfId="6" applyNumberFormat="1" applyFont="1" applyFill="1" applyBorder="1" applyAlignment="1"/>
    <xf numFmtId="3" fontId="15" fillId="2" borderId="0" xfId="6" applyNumberFormat="1" applyFont="1" applyFill="1" applyBorder="1" applyAlignment="1"/>
    <xf numFmtId="0" fontId="10" fillId="6" borderId="6" xfId="5" applyFont="1" applyFill="1" applyBorder="1" applyAlignment="1"/>
    <xf numFmtId="10" fontId="15" fillId="2" borderId="0" xfId="6" applyNumberFormat="1" applyFont="1" applyFill="1" applyBorder="1" applyAlignment="1"/>
    <xf numFmtId="10" fontId="15" fillId="2" borderId="8" xfId="6" applyNumberFormat="1" applyFont="1" applyFill="1" applyBorder="1" applyAlignment="1"/>
    <xf numFmtId="9" fontId="8" fillId="7" borderId="1" xfId="7" applyFont="1" applyFill="1" applyBorder="1" applyAlignment="1"/>
    <xf numFmtId="10" fontId="15" fillId="3" borderId="1" xfId="6" applyNumberFormat="1" applyFont="1" applyFill="1" applyBorder="1" applyAlignment="1"/>
    <xf numFmtId="164" fontId="15" fillId="2" borderId="1" xfId="7" applyNumberFormat="1" applyFont="1" applyFill="1" applyBorder="1" applyAlignment="1"/>
    <xf numFmtId="10" fontId="15" fillId="2" borderId="1" xfId="6" applyNumberFormat="1" applyFont="1" applyFill="1" applyBorder="1" applyAlignment="1"/>
    <xf numFmtId="10" fontId="15" fillId="2" borderId="10" xfId="6" applyNumberFormat="1" applyFont="1" applyFill="1" applyBorder="1" applyAlignment="1"/>
    <xf numFmtId="164" fontId="15" fillId="2" borderId="0" xfId="6" applyNumberFormat="1" applyFont="1" applyFill="1" applyBorder="1" applyAlignment="1"/>
    <xf numFmtId="10" fontId="15" fillId="3" borderId="10" xfId="6" applyNumberFormat="1" applyFont="1" applyFill="1" applyBorder="1" applyAlignment="1"/>
    <xf numFmtId="0" fontId="4" fillId="0" borderId="0" xfId="0" applyFont="1"/>
    <xf numFmtId="3" fontId="4" fillId="3" borderId="0" xfId="0" applyNumberFormat="1" applyFont="1" applyFill="1"/>
    <xf numFmtId="0" fontId="4" fillId="3" borderId="0" xfId="0" applyFont="1" applyFill="1"/>
    <xf numFmtId="164" fontId="4" fillId="3" borderId="0" xfId="1" applyNumberFormat="1" applyFont="1" applyFill="1"/>
    <xf numFmtId="0" fontId="4" fillId="0" borderId="1" xfId="0" applyFont="1" applyBorder="1"/>
    <xf numFmtId="165" fontId="4" fillId="3" borderId="0" xfId="1" applyNumberFormat="1" applyFont="1" applyFill="1"/>
    <xf numFmtId="3" fontId="4" fillId="4" borderId="0" xfId="0" applyNumberFormat="1" applyFont="1" applyFill="1"/>
    <xf numFmtId="0" fontId="4" fillId="4" borderId="0" xfId="0" applyFont="1" applyFill="1"/>
    <xf numFmtId="2" fontId="4" fillId="3" borderId="0" xfId="1" applyNumberFormat="1" applyFont="1" applyFill="1"/>
    <xf numFmtId="164" fontId="4" fillId="4" borderId="0" xfId="1" applyNumberFormat="1" applyFont="1" applyFill="1"/>
    <xf numFmtId="10" fontId="4" fillId="3" borderId="0" xfId="1" applyNumberFormat="1" applyFont="1" applyFill="1"/>
    <xf numFmtId="0" fontId="9" fillId="0" borderId="0" xfId="0" applyFont="1" applyBorder="1"/>
    <xf numFmtId="0" fontId="9" fillId="0" borderId="7" xfId="0" applyFont="1" applyBorder="1"/>
    <xf numFmtId="0" fontId="9" fillId="0" borderId="8" xfId="0" applyFont="1" applyBorder="1"/>
    <xf numFmtId="3" fontId="9" fillId="2" borderId="0" xfId="0" applyNumberFormat="1" applyFont="1" applyFill="1" applyBorder="1"/>
    <xf numFmtId="0" fontId="9" fillId="4" borderId="0" xfId="0" applyFont="1" applyFill="1" applyBorder="1"/>
    <xf numFmtId="0" fontId="9" fillId="4" borderId="8" xfId="0" applyFont="1" applyFill="1" applyBorder="1"/>
    <xf numFmtId="0" fontId="9" fillId="4" borderId="7" xfId="0" applyFont="1" applyFill="1" applyBorder="1"/>
    <xf numFmtId="164" fontId="9" fillId="2" borderId="0" xfId="0" applyNumberFormat="1" applyFont="1" applyFill="1" applyBorder="1"/>
    <xf numFmtId="166" fontId="9" fillId="2" borderId="0" xfId="0" applyNumberFormat="1" applyFont="1" applyFill="1" applyBorder="1"/>
    <xf numFmtId="0" fontId="9" fillId="4" borderId="0" xfId="0" quotePrefix="1" applyFont="1" applyFill="1" applyBorder="1" applyAlignment="1">
      <alignment horizontal="center"/>
    </xf>
    <xf numFmtId="10" fontId="9" fillId="3" borderId="8" xfId="1" applyNumberFormat="1" applyFont="1" applyFill="1" applyBorder="1"/>
    <xf numFmtId="0" fontId="9" fillId="4" borderId="13" xfId="0" applyFont="1" applyFill="1" applyBorder="1"/>
    <xf numFmtId="166" fontId="9" fillId="2" borderId="1" xfId="0" applyNumberFormat="1" applyFont="1" applyFill="1" applyBorder="1"/>
    <xf numFmtId="0" fontId="9" fillId="4" borderId="1" xfId="0" quotePrefix="1" applyFont="1" applyFill="1" applyBorder="1" applyAlignment="1">
      <alignment horizontal="center"/>
    </xf>
    <xf numFmtId="10" fontId="9" fillId="3" borderId="10" xfId="1" applyNumberFormat="1" applyFont="1" applyFill="1" applyBorder="1"/>
    <xf numFmtId="0" fontId="9" fillId="0" borderId="13" xfId="0" applyFont="1" applyBorder="1"/>
    <xf numFmtId="164" fontId="9" fillId="2" borderId="1" xfId="0" applyNumberFormat="1" applyFont="1" applyFill="1" applyBorder="1"/>
    <xf numFmtId="0" fontId="9" fillId="0" borderId="10" xfId="0" applyFont="1" applyBorder="1"/>
    <xf numFmtId="0" fontId="4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10" fillId="6" borderId="2" xfId="5" applyFont="1" applyFill="1" applyBorder="1" applyAlignment="1">
      <alignment horizontal="center"/>
    </xf>
    <xf numFmtId="0" fontId="10" fillId="6" borderId="2" xfId="5" applyFont="1" applyFill="1" applyBorder="1" applyAlignment="1">
      <alignment wrapText="1"/>
    </xf>
    <xf numFmtId="10" fontId="0" fillId="0" borderId="0" xfId="0" applyNumberFormat="1"/>
    <xf numFmtId="0" fontId="24" fillId="0" borderId="0" xfId="0" applyFont="1" applyAlignment="1"/>
    <xf numFmtId="10" fontId="24" fillId="0" borderId="0" xfId="0" applyNumberFormat="1" applyFont="1" applyAlignment="1"/>
    <xf numFmtId="10" fontId="0" fillId="0" borderId="0" xfId="1" applyNumberFormat="1" applyFont="1"/>
    <xf numFmtId="0" fontId="10" fillId="6" borderId="2" xfId="5" applyFont="1" applyFill="1" applyBorder="1" applyAlignment="1">
      <alignment horizontal="center"/>
    </xf>
    <xf numFmtId="2" fontId="24" fillId="0" borderId="0" xfId="0" applyNumberFormat="1" applyFont="1" applyAlignment="1"/>
    <xf numFmtId="0" fontId="10" fillId="6" borderId="15" xfId="5" applyFont="1" applyFill="1" applyBorder="1" applyAlignment="1"/>
    <xf numFmtId="0" fontId="10" fillId="6" borderId="14" xfId="5" applyFont="1" applyFill="1" applyBorder="1" applyAlignment="1"/>
    <xf numFmtId="3" fontId="15" fillId="2" borderId="14" xfId="6" applyNumberFormat="1" applyFont="1" applyFill="1" applyBorder="1" applyAlignment="1"/>
    <xf numFmtId="10" fontId="0" fillId="3" borderId="21" xfId="0" applyNumberFormat="1" applyFill="1" applyBorder="1"/>
    <xf numFmtId="3" fontId="0" fillId="3" borderId="22" xfId="0" applyNumberFormat="1" applyFill="1" applyBorder="1"/>
    <xf numFmtId="10" fontId="0" fillId="3" borderId="24" xfId="0" applyNumberFormat="1" applyFill="1" applyBorder="1"/>
    <xf numFmtId="3" fontId="0" fillId="3" borderId="25" xfId="0" applyNumberFormat="1" applyFill="1" applyBorder="1"/>
    <xf numFmtId="0" fontId="10" fillId="6" borderId="30" xfId="5" applyFont="1" applyFill="1" applyBorder="1" applyAlignment="1">
      <alignment horizontal="right"/>
    </xf>
    <xf numFmtId="10" fontId="24" fillId="3" borderId="21" xfId="0" applyNumberFormat="1" applyFont="1" applyFill="1" applyBorder="1" applyAlignment="1"/>
    <xf numFmtId="10" fontId="24" fillId="3" borderId="24" xfId="0" applyNumberFormat="1" applyFont="1" applyFill="1" applyBorder="1" applyAlignment="1"/>
    <xf numFmtId="0" fontId="10" fillId="6" borderId="30" xfId="5" applyFont="1" applyFill="1" applyBorder="1" applyAlignment="1">
      <alignment horizontal="right" wrapText="1"/>
    </xf>
    <xf numFmtId="0" fontId="10" fillId="6" borderId="29" xfId="5" applyFont="1" applyFill="1" applyBorder="1" applyAlignment="1">
      <alignment horizontal="right" wrapText="1"/>
    </xf>
    <xf numFmtId="0" fontId="25" fillId="8" borderId="6" xfId="0" applyFont="1" applyFill="1" applyBorder="1" applyAlignment="1">
      <alignment textRotation="90"/>
    </xf>
    <xf numFmtId="0" fontId="0" fillId="2" borderId="27" xfId="0" applyFill="1" applyBorder="1"/>
    <xf numFmtId="10" fontId="0" fillId="3" borderId="27" xfId="0" applyNumberFormat="1" applyFill="1" applyBorder="1"/>
    <xf numFmtId="10" fontId="24" fillId="3" borderId="27" xfId="0" applyNumberFormat="1" applyFont="1" applyFill="1" applyBorder="1" applyAlignment="1"/>
    <xf numFmtId="0" fontId="0" fillId="9" borderId="27" xfId="0" applyFill="1" applyBorder="1" applyProtection="1">
      <protection hidden="1"/>
    </xf>
    <xf numFmtId="2" fontId="0" fillId="9" borderId="27" xfId="0" applyNumberFormat="1" applyFill="1" applyBorder="1" applyProtection="1">
      <protection hidden="1"/>
    </xf>
    <xf numFmtId="168" fontId="0" fillId="9" borderId="27" xfId="0" applyNumberFormat="1" applyFill="1" applyBorder="1" applyProtection="1">
      <protection hidden="1"/>
    </xf>
    <xf numFmtId="0" fontId="0" fillId="2" borderId="21" xfId="0" applyFill="1" applyBorder="1"/>
    <xf numFmtId="0" fontId="0" fillId="9" borderId="21" xfId="0" applyFill="1" applyBorder="1" applyProtection="1">
      <protection hidden="1"/>
    </xf>
    <xf numFmtId="2" fontId="0" fillId="9" borderId="21" xfId="0" applyNumberFormat="1" applyFill="1" applyBorder="1" applyProtection="1">
      <protection hidden="1"/>
    </xf>
    <xf numFmtId="168" fontId="0" fillId="9" borderId="21" xfId="0" applyNumberFormat="1" applyFill="1" applyBorder="1" applyProtection="1">
      <protection hidden="1"/>
    </xf>
    <xf numFmtId="0" fontId="0" fillId="2" borderId="24" xfId="0" applyFill="1" applyBorder="1"/>
    <xf numFmtId="0" fontId="0" fillId="9" borderId="24" xfId="0" applyFill="1" applyBorder="1" applyProtection="1">
      <protection hidden="1"/>
    </xf>
    <xf numFmtId="2" fontId="0" fillId="9" borderId="24" xfId="0" applyNumberFormat="1" applyFill="1" applyBorder="1" applyProtection="1">
      <protection hidden="1"/>
    </xf>
    <xf numFmtId="168" fontId="0" fillId="9" borderId="24" xfId="0" applyNumberFormat="1" applyFill="1" applyBorder="1" applyProtection="1">
      <protection hidden="1"/>
    </xf>
    <xf numFmtId="0" fontId="27" fillId="8" borderId="6" xfId="0" applyFont="1" applyFill="1" applyBorder="1" applyAlignment="1"/>
    <xf numFmtId="0" fontId="27" fillId="8" borderId="6" xfId="0" applyFont="1" applyFill="1" applyBorder="1" applyAlignment="1">
      <alignment wrapText="1"/>
    </xf>
    <xf numFmtId="0" fontId="27" fillId="8" borderId="3" xfId="0" applyFont="1" applyFill="1" applyBorder="1" applyAlignment="1">
      <alignment wrapText="1"/>
    </xf>
    <xf numFmtId="3" fontId="26" fillId="3" borderId="15" xfId="0" applyNumberFormat="1" applyFont="1" applyFill="1" applyBorder="1" applyProtection="1">
      <protection hidden="1"/>
    </xf>
    <xf numFmtId="3" fontId="26" fillId="3" borderId="14" xfId="0" applyNumberFormat="1" applyFont="1" applyFill="1" applyBorder="1" applyProtection="1">
      <protection hidden="1"/>
    </xf>
    <xf numFmtId="3" fontId="0" fillId="9" borderId="28" xfId="0" applyNumberFormat="1" applyFill="1" applyBorder="1" applyProtection="1">
      <protection hidden="1"/>
    </xf>
    <xf numFmtId="3" fontId="0" fillId="9" borderId="35" xfId="0" applyNumberFormat="1" applyFill="1" applyBorder="1" applyProtection="1">
      <protection hidden="1"/>
    </xf>
    <xf numFmtId="3" fontId="0" fillId="9" borderId="22" xfId="0" applyNumberFormat="1" applyFill="1" applyBorder="1" applyProtection="1">
      <protection hidden="1"/>
    </xf>
    <xf numFmtId="3" fontId="0" fillId="9" borderId="20" xfId="0" applyNumberFormat="1" applyFill="1" applyBorder="1" applyProtection="1">
      <protection hidden="1"/>
    </xf>
    <xf numFmtId="3" fontId="0" fillId="9" borderId="25" xfId="0" applyNumberFormat="1" applyFill="1" applyBorder="1" applyProtection="1">
      <protection hidden="1"/>
    </xf>
    <xf numFmtId="3" fontId="0" fillId="9" borderId="23" xfId="0" applyNumberFormat="1" applyFill="1" applyBorder="1" applyProtection="1">
      <protection hidden="1"/>
    </xf>
    <xf numFmtId="10" fontId="15" fillId="3" borderId="0" xfId="1" applyNumberFormat="1" applyFont="1" applyFill="1" applyBorder="1" applyAlignment="1"/>
    <xf numFmtId="10" fontId="15" fillId="7" borderId="8" xfId="1" applyNumberFormat="1" applyFont="1" applyFill="1" applyBorder="1" applyAlignment="1"/>
    <xf numFmtId="10" fontId="15" fillId="7" borderId="0" xfId="1" applyNumberFormat="1" applyFont="1" applyFill="1" applyBorder="1" applyAlignment="1"/>
    <xf numFmtId="10" fontId="15" fillId="7" borderId="1" xfId="1" applyNumberFormat="1" applyFont="1" applyFill="1" applyBorder="1" applyAlignment="1"/>
    <xf numFmtId="10" fontId="15" fillId="7" borderId="10" xfId="1" applyNumberFormat="1" applyFont="1" applyFill="1" applyBorder="1" applyAlignment="1"/>
    <xf numFmtId="168" fontId="15" fillId="3" borderId="17" xfId="6" applyNumberFormat="1" applyFont="1" applyFill="1" applyBorder="1" applyAlignment="1"/>
    <xf numFmtId="168" fontId="15" fillId="3" borderId="18" xfId="6" applyNumberFormat="1" applyFont="1" applyFill="1" applyBorder="1" applyAlignment="1"/>
    <xf numFmtId="168" fontId="15" fillId="3" borderId="19" xfId="6" applyNumberFormat="1" applyFont="1" applyFill="1" applyBorder="1" applyAlignment="1"/>
    <xf numFmtId="168" fontId="15" fillId="3" borderId="20" xfId="6" applyNumberFormat="1" applyFont="1" applyFill="1" applyBorder="1" applyAlignment="1"/>
    <xf numFmtId="168" fontId="15" fillId="3" borderId="21" xfId="6" applyNumberFormat="1" applyFont="1" applyFill="1" applyBorder="1" applyAlignment="1"/>
    <xf numFmtId="168" fontId="15" fillId="7" borderId="22" xfId="6" applyNumberFormat="1" applyFont="1" applyFill="1" applyBorder="1" applyAlignment="1"/>
    <xf numFmtId="168" fontId="15" fillId="7" borderId="21" xfId="6" applyNumberFormat="1" applyFont="1" applyFill="1" applyBorder="1" applyAlignment="1"/>
    <xf numFmtId="168" fontId="15" fillId="3" borderId="23" xfId="6" applyNumberFormat="1" applyFont="1" applyFill="1" applyBorder="1" applyAlignment="1"/>
    <xf numFmtId="168" fontId="15" fillId="7" borderId="24" xfId="6" applyNumberFormat="1" applyFont="1" applyFill="1" applyBorder="1" applyAlignment="1"/>
    <xf numFmtId="168" fontId="15" fillId="7" borderId="25" xfId="6" applyNumberFormat="1" applyFont="1" applyFill="1" applyBorder="1" applyAlignment="1"/>
    <xf numFmtId="0" fontId="15" fillId="0" borderId="9" xfId="6" applyFont="1" applyBorder="1" applyAlignment="1"/>
    <xf numFmtId="164" fontId="5" fillId="2" borderId="28" xfId="1" applyNumberFormat="1" applyFill="1" applyBorder="1" applyProtection="1">
      <protection locked="0"/>
    </xf>
    <xf numFmtId="164" fontId="5" fillId="2" borderId="22" xfId="1" applyNumberFormat="1" applyFill="1" applyBorder="1" applyProtection="1">
      <protection locked="0"/>
    </xf>
    <xf numFmtId="164" fontId="5" fillId="2" borderId="25" xfId="1" applyNumberFormat="1" applyFill="1" applyBorder="1" applyProtection="1">
      <protection locked="0"/>
    </xf>
    <xf numFmtId="0" fontId="24" fillId="2" borderId="26" xfId="0" applyFont="1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23" fillId="2" borderId="33" xfId="0" applyFont="1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27" xfId="0" applyFill="1" applyBorder="1"/>
    <xf numFmtId="0" fontId="0" fillId="3" borderId="21" xfId="0" applyFill="1" applyBorder="1"/>
    <xf numFmtId="0" fontId="0" fillId="3" borderId="24" xfId="0" applyFill="1" applyBorder="1"/>
    <xf numFmtId="167" fontId="20" fillId="4" borderId="0" xfId="6" applyNumberFormat="1" applyFont="1" applyFill="1" applyAlignment="1"/>
    <xf numFmtId="4" fontId="0" fillId="9" borderId="28" xfId="0" applyNumberFormat="1" applyFill="1" applyBorder="1" applyProtection="1">
      <protection hidden="1"/>
    </xf>
    <xf numFmtId="4" fontId="0" fillId="9" borderId="22" xfId="0" applyNumberFormat="1" applyFill="1" applyBorder="1" applyProtection="1">
      <protection hidden="1"/>
    </xf>
    <xf numFmtId="4" fontId="0" fillId="9" borderId="25" xfId="0" applyNumberFormat="1" applyFill="1" applyBorder="1" applyProtection="1">
      <protection hidden="1"/>
    </xf>
    <xf numFmtId="10" fontId="15" fillId="3" borderId="1" xfId="1" applyNumberFormat="1" applyFont="1" applyFill="1" applyBorder="1" applyAlignment="1"/>
    <xf numFmtId="0" fontId="10" fillId="6" borderId="32" xfId="5" applyFont="1" applyFill="1" applyBorder="1" applyAlignment="1">
      <alignment horizontal="right"/>
    </xf>
    <xf numFmtId="10" fontId="0" fillId="3" borderId="22" xfId="0" applyNumberFormat="1" applyFill="1" applyBorder="1"/>
    <xf numFmtId="10" fontId="0" fillId="3" borderId="25" xfId="0" applyNumberFormat="1" applyFill="1" applyBorder="1"/>
    <xf numFmtId="0" fontId="0" fillId="4" borderId="36" xfId="0" applyFill="1" applyBorder="1"/>
    <xf numFmtId="0" fontId="0" fillId="4" borderId="20" xfId="0" applyFill="1" applyBorder="1"/>
    <xf numFmtId="0" fontId="23" fillId="4" borderId="36" xfId="0" applyFont="1" applyFill="1" applyBorder="1"/>
    <xf numFmtId="0" fontId="23" fillId="4" borderId="20" xfId="0" applyFont="1" applyFill="1" applyBorder="1"/>
    <xf numFmtId="0" fontId="0" fillId="4" borderId="37" xfId="0" applyFill="1" applyBorder="1"/>
    <xf numFmtId="0" fontId="0" fillId="4" borderId="23" xfId="0" applyFill="1" applyBorder="1"/>
    <xf numFmtId="3" fontId="24" fillId="3" borderId="21" xfId="0" applyNumberFormat="1" applyFont="1" applyFill="1" applyBorder="1" applyAlignment="1"/>
    <xf numFmtId="3" fontId="24" fillId="3" borderId="22" xfId="0" applyNumberFormat="1" applyFont="1" applyFill="1" applyBorder="1" applyAlignment="1"/>
    <xf numFmtId="3" fontId="24" fillId="3" borderId="24" xfId="0" applyNumberFormat="1" applyFont="1" applyFill="1" applyBorder="1" applyAlignment="1"/>
    <xf numFmtId="3" fontId="24" fillId="3" borderId="25" xfId="0" applyNumberFormat="1" applyFont="1" applyFill="1" applyBorder="1" applyAlignment="1"/>
    <xf numFmtId="0" fontId="14" fillId="4" borderId="5" xfId="6" applyFont="1" applyFill="1" applyBorder="1" applyAlignment="1"/>
    <xf numFmtId="0" fontId="14" fillId="4" borderId="1" xfId="6" applyFont="1" applyFill="1" applyBorder="1" applyAlignment="1"/>
    <xf numFmtId="0" fontId="10" fillId="6" borderId="30" xfId="5" applyFont="1" applyFill="1" applyBorder="1" applyAlignment="1">
      <alignment horizontal="center" vertical="center"/>
    </xf>
    <xf numFmtId="0" fontId="10" fillId="6" borderId="31" xfId="5" applyFont="1" applyFill="1" applyBorder="1" applyAlignment="1">
      <alignment horizontal="center" vertical="center"/>
    </xf>
    <xf numFmtId="0" fontId="10" fillId="6" borderId="31" xfId="5" applyFont="1" applyFill="1" applyBorder="1" applyAlignment="1">
      <alignment horizontal="center" vertical="center" wrapText="1"/>
    </xf>
    <xf numFmtId="0" fontId="10" fillId="6" borderId="32" xfId="5" applyFont="1" applyFill="1" applyBorder="1" applyAlignment="1">
      <alignment horizontal="center" vertical="center" wrapText="1"/>
    </xf>
    <xf numFmtId="0" fontId="2" fillId="0" borderId="0" xfId="0" applyFont="1"/>
    <xf numFmtId="0" fontId="9" fillId="0" borderId="2" xfId="0" applyFont="1" applyBorder="1"/>
    <xf numFmtId="0" fontId="9" fillId="0" borderId="5" xfId="0" applyFont="1" applyBorder="1"/>
    <xf numFmtId="0" fontId="9" fillId="0" borderId="3" xfId="0" applyFont="1" applyBorder="1"/>
    <xf numFmtId="0" fontId="4" fillId="0" borderId="7" xfId="0" applyFont="1" applyBorder="1"/>
    <xf numFmtId="0" fontId="4" fillId="0" borderId="13" xfId="0" applyFont="1" applyBorder="1"/>
    <xf numFmtId="164" fontId="4" fillId="2" borderId="0" xfId="1" applyNumberFormat="1" applyFont="1" applyFill="1" applyBorder="1"/>
    <xf numFmtId="10" fontId="4" fillId="2" borderId="0" xfId="1" applyNumberFormat="1" applyFont="1" applyFill="1" applyBorder="1"/>
    <xf numFmtId="10" fontId="4" fillId="2" borderId="1" xfId="1" applyNumberFormat="1" applyFont="1" applyFill="1" applyBorder="1"/>
    <xf numFmtId="0" fontId="19" fillId="6" borderId="6" xfId="5" applyFont="1" applyFill="1" applyBorder="1" applyAlignment="1">
      <alignment textRotation="180"/>
    </xf>
    <xf numFmtId="0" fontId="17" fillId="0" borderId="12" xfId="0" applyFont="1" applyBorder="1" applyAlignment="1">
      <alignment textRotation="180"/>
    </xf>
    <xf numFmtId="0" fontId="17" fillId="0" borderId="11" xfId="0" applyFont="1" applyBorder="1" applyAlignment="1">
      <alignment textRotation="180"/>
    </xf>
    <xf numFmtId="0" fontId="19" fillId="6" borderId="12" xfId="5" applyFont="1" applyFill="1" applyBorder="1" applyAlignment="1">
      <alignment textRotation="180"/>
    </xf>
    <xf numFmtId="0" fontId="19" fillId="6" borderId="11" xfId="5" applyFont="1" applyFill="1" applyBorder="1" applyAlignment="1">
      <alignment textRotation="180"/>
    </xf>
    <xf numFmtId="0" fontId="19" fillId="6" borderId="6" xfId="5" applyFont="1" applyFill="1" applyBorder="1" applyAlignment="1">
      <alignment vertical="center" textRotation="180"/>
    </xf>
    <xf numFmtId="0" fontId="19" fillId="6" borderId="12" xfId="5" applyFont="1" applyFill="1" applyBorder="1" applyAlignment="1">
      <alignment vertical="center" textRotation="180"/>
    </xf>
    <xf numFmtId="0" fontId="19" fillId="6" borderId="11" xfId="5" applyFont="1" applyFill="1" applyBorder="1" applyAlignment="1">
      <alignment vertical="center" textRotation="180"/>
    </xf>
    <xf numFmtId="0" fontId="10" fillId="6" borderId="9" xfId="5" applyFont="1" applyFill="1" applyBorder="1" applyAlignment="1">
      <alignment horizontal="center"/>
    </xf>
  </cellXfs>
  <cellStyles count="9">
    <cellStyle name="Annahmen" xfId="2"/>
    <cellStyle name="Normal" xfId="0" builtinId="0"/>
    <cellStyle name="Percent" xfId="1" builtinId="5"/>
    <cellStyle name="Prozent 2" xfId="4"/>
    <cellStyle name="Prozent 2 2" xfId="7"/>
    <cellStyle name="Standard 2" xfId="6"/>
    <cellStyle name="Standard 2 2" xfId="3"/>
    <cellStyle name="Standard 3" xfId="5"/>
    <cellStyle name="Währung 2" xfId="8"/>
  </cellStyles>
  <dxfs count="9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24</xdr:row>
      <xdr:rowOff>0</xdr:rowOff>
    </xdr:from>
    <xdr:ext cx="1282700" cy="0"/>
    <xdr:pic>
      <xdr:nvPicPr>
        <xdr:cNvPr id="2" name="Grafik 1" descr="page1image2270699344">
          <a:extLst>
            <a:ext uri="{FF2B5EF4-FFF2-40B4-BE49-F238E27FC236}">
              <a16:creationId xmlns:a16="http://schemas.microsoft.com/office/drawing/2014/main" id="{ECE4E132-2E25-9548-BB64-37D10C0586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9700" y="121285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24</xdr:row>
      <xdr:rowOff>0</xdr:rowOff>
    </xdr:from>
    <xdr:ext cx="1282700" cy="0"/>
    <xdr:pic>
      <xdr:nvPicPr>
        <xdr:cNvPr id="3" name="Grafik 2" descr="page1image2270700208">
          <a:extLst>
            <a:ext uri="{FF2B5EF4-FFF2-40B4-BE49-F238E27FC236}">
              <a16:creationId xmlns:a16="http://schemas.microsoft.com/office/drawing/2014/main" id="{0E1A878A-90CB-E44C-9D85-622A9A429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121285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24</xdr:row>
      <xdr:rowOff>0</xdr:rowOff>
    </xdr:from>
    <xdr:ext cx="1282700" cy="0"/>
    <xdr:pic>
      <xdr:nvPicPr>
        <xdr:cNvPr id="4" name="Grafik 3" descr="page1image2270700496">
          <a:extLst>
            <a:ext uri="{FF2B5EF4-FFF2-40B4-BE49-F238E27FC236}">
              <a16:creationId xmlns:a16="http://schemas.microsoft.com/office/drawing/2014/main" id="{700613C3-5DE9-964F-870D-43FBD5003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8300" y="121285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86783</xdr:colOff>
      <xdr:row>0</xdr:row>
      <xdr:rowOff>0</xdr:rowOff>
    </xdr:to>
    <xdr:pic>
      <xdr:nvPicPr>
        <xdr:cNvPr id="17" name="Grafik 16" descr="page1image2270698352">
          <a:extLst>
            <a:ext uri="{FF2B5EF4-FFF2-40B4-BE49-F238E27FC236}">
              <a16:creationId xmlns:a16="http://schemas.microsoft.com/office/drawing/2014/main" id="{09BF05B1-1F7E-D042-9831-A60E0F8BA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30480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86783</xdr:colOff>
      <xdr:row>0</xdr:row>
      <xdr:rowOff>0</xdr:rowOff>
    </xdr:to>
    <xdr:pic>
      <xdr:nvPicPr>
        <xdr:cNvPr id="18" name="Grafik 17" descr="page1image2270698768">
          <a:extLst>
            <a:ext uri="{FF2B5EF4-FFF2-40B4-BE49-F238E27FC236}">
              <a16:creationId xmlns:a16="http://schemas.microsoft.com/office/drawing/2014/main" id="{B4DFAF8C-F6E5-4C49-A751-0B977C8CF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469900</xdr:colOff>
      <xdr:row>0</xdr:row>
      <xdr:rowOff>0</xdr:rowOff>
    </xdr:from>
    <xdr:to>
      <xdr:col>3</xdr:col>
      <xdr:colOff>774701</xdr:colOff>
      <xdr:row>0</xdr:row>
      <xdr:rowOff>0</xdr:rowOff>
    </xdr:to>
    <xdr:pic>
      <xdr:nvPicPr>
        <xdr:cNvPr id="19" name="Grafik 18" descr="page1image2270699056">
          <a:extLst>
            <a:ext uri="{FF2B5EF4-FFF2-40B4-BE49-F238E27FC236}">
              <a16:creationId xmlns:a16="http://schemas.microsoft.com/office/drawing/2014/main" id="{A21DB2BF-2831-134B-9CD4-CEF0DE4C4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09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114300</xdr:colOff>
      <xdr:row>0</xdr:row>
      <xdr:rowOff>0</xdr:rowOff>
    </xdr:from>
    <xdr:to>
      <xdr:col>5</xdr:col>
      <xdr:colOff>25401</xdr:colOff>
      <xdr:row>0</xdr:row>
      <xdr:rowOff>0</xdr:rowOff>
    </xdr:to>
    <xdr:pic>
      <xdr:nvPicPr>
        <xdr:cNvPr id="20" name="Grafik 19" descr="page1image2270699344">
          <a:extLst>
            <a:ext uri="{FF2B5EF4-FFF2-40B4-BE49-F238E27FC236}">
              <a16:creationId xmlns:a16="http://schemas.microsoft.com/office/drawing/2014/main" id="{C100C164-1DE1-344C-BD17-3F9114ACB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63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584200</xdr:colOff>
      <xdr:row>0</xdr:row>
      <xdr:rowOff>0</xdr:rowOff>
    </xdr:from>
    <xdr:to>
      <xdr:col>6</xdr:col>
      <xdr:colOff>469900</xdr:colOff>
      <xdr:row>0</xdr:row>
      <xdr:rowOff>0</xdr:rowOff>
    </xdr:to>
    <xdr:pic>
      <xdr:nvPicPr>
        <xdr:cNvPr id="21" name="Grafik 20" descr="page1image2270699632">
          <a:extLst>
            <a:ext uri="{FF2B5EF4-FFF2-40B4-BE49-F238E27FC236}">
              <a16:creationId xmlns:a16="http://schemas.microsoft.com/office/drawing/2014/main" id="{49CC4B98-A931-A149-BD3E-8CA59313D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17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228600</xdr:colOff>
      <xdr:row>0</xdr:row>
      <xdr:rowOff>0</xdr:rowOff>
    </xdr:from>
    <xdr:to>
      <xdr:col>8</xdr:col>
      <xdr:colOff>685800</xdr:colOff>
      <xdr:row>0</xdr:row>
      <xdr:rowOff>0</xdr:rowOff>
    </xdr:to>
    <xdr:pic>
      <xdr:nvPicPr>
        <xdr:cNvPr id="22" name="Grafik 21" descr="page1image2270699920">
          <a:extLst>
            <a:ext uri="{FF2B5EF4-FFF2-40B4-BE49-F238E27FC236}">
              <a16:creationId xmlns:a16="http://schemas.microsoft.com/office/drawing/2014/main" id="{0C665C59-3E54-7449-856B-DE90BE1081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71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698500</xdr:colOff>
      <xdr:row>0</xdr:row>
      <xdr:rowOff>0</xdr:rowOff>
    </xdr:from>
    <xdr:to>
      <xdr:col>10</xdr:col>
      <xdr:colOff>330200</xdr:colOff>
      <xdr:row>0</xdr:row>
      <xdr:rowOff>0</xdr:rowOff>
    </xdr:to>
    <xdr:pic>
      <xdr:nvPicPr>
        <xdr:cNvPr id="23" name="Grafik 22" descr="page1image2270700208">
          <a:extLst>
            <a:ext uri="{FF2B5EF4-FFF2-40B4-BE49-F238E27FC236}">
              <a16:creationId xmlns:a16="http://schemas.microsoft.com/office/drawing/2014/main" id="{50AB5F6C-149F-5047-B101-A48677049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25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342900</xdr:colOff>
      <xdr:row>0</xdr:row>
      <xdr:rowOff>0</xdr:rowOff>
    </xdr:from>
    <xdr:to>
      <xdr:col>11</xdr:col>
      <xdr:colOff>800100</xdr:colOff>
      <xdr:row>0</xdr:row>
      <xdr:rowOff>0</xdr:rowOff>
    </xdr:to>
    <xdr:pic>
      <xdr:nvPicPr>
        <xdr:cNvPr id="24" name="Grafik 23" descr="page1image2270700496">
          <a:extLst>
            <a:ext uri="{FF2B5EF4-FFF2-40B4-BE49-F238E27FC236}">
              <a16:creationId xmlns:a16="http://schemas.microsoft.com/office/drawing/2014/main" id="{B99CA5B2-CB49-4141-95CF-D54CBD3B2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79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812800</xdr:colOff>
      <xdr:row>0</xdr:row>
      <xdr:rowOff>0</xdr:rowOff>
    </xdr:from>
    <xdr:to>
      <xdr:col>13</xdr:col>
      <xdr:colOff>444500</xdr:colOff>
      <xdr:row>0</xdr:row>
      <xdr:rowOff>0</xdr:rowOff>
    </xdr:to>
    <xdr:pic>
      <xdr:nvPicPr>
        <xdr:cNvPr id="25" name="Grafik 24" descr="page1image2270700784">
          <a:extLst>
            <a:ext uri="{FF2B5EF4-FFF2-40B4-BE49-F238E27FC236}">
              <a16:creationId xmlns:a16="http://schemas.microsoft.com/office/drawing/2014/main" id="{50809C0C-5B2D-E041-BD5B-520E02D3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33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457200</xdr:colOff>
      <xdr:row>0</xdr:row>
      <xdr:rowOff>0</xdr:rowOff>
    </xdr:from>
    <xdr:to>
      <xdr:col>15</xdr:col>
      <xdr:colOff>88900</xdr:colOff>
      <xdr:row>0</xdr:row>
      <xdr:rowOff>0</xdr:rowOff>
    </xdr:to>
    <xdr:pic>
      <xdr:nvPicPr>
        <xdr:cNvPr id="26" name="Grafik 25" descr="page1image2270701328">
          <a:extLst>
            <a:ext uri="{FF2B5EF4-FFF2-40B4-BE49-F238E27FC236}">
              <a16:creationId xmlns:a16="http://schemas.microsoft.com/office/drawing/2014/main" id="{0473273B-BAA4-4B4B-96F6-D17BEB4D7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87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101600</xdr:colOff>
      <xdr:row>0</xdr:row>
      <xdr:rowOff>0</xdr:rowOff>
    </xdr:from>
    <xdr:to>
      <xdr:col>16</xdr:col>
      <xdr:colOff>558800</xdr:colOff>
      <xdr:row>0</xdr:row>
      <xdr:rowOff>0</xdr:rowOff>
    </xdr:to>
    <xdr:pic>
      <xdr:nvPicPr>
        <xdr:cNvPr id="27" name="Grafik 26" descr="page1image2270701616">
          <a:extLst>
            <a:ext uri="{FF2B5EF4-FFF2-40B4-BE49-F238E27FC236}">
              <a16:creationId xmlns:a16="http://schemas.microsoft.com/office/drawing/2014/main" id="{4A0F898C-795E-B54E-9104-5DE549A9C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41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571500</xdr:colOff>
      <xdr:row>0</xdr:row>
      <xdr:rowOff>0</xdr:rowOff>
    </xdr:from>
    <xdr:to>
      <xdr:col>18</xdr:col>
      <xdr:colOff>203200</xdr:colOff>
      <xdr:row>0</xdr:row>
      <xdr:rowOff>0</xdr:rowOff>
    </xdr:to>
    <xdr:pic>
      <xdr:nvPicPr>
        <xdr:cNvPr id="28" name="Grafik 27" descr="page1image2270701904">
          <a:extLst>
            <a:ext uri="{FF2B5EF4-FFF2-40B4-BE49-F238E27FC236}">
              <a16:creationId xmlns:a16="http://schemas.microsoft.com/office/drawing/2014/main" id="{7FC49C8D-26B6-2C45-B803-560385A39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795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215900</xdr:colOff>
      <xdr:row>0</xdr:row>
      <xdr:rowOff>0</xdr:rowOff>
    </xdr:from>
    <xdr:to>
      <xdr:col>19</xdr:col>
      <xdr:colOff>673100</xdr:colOff>
      <xdr:row>0</xdr:row>
      <xdr:rowOff>0</xdr:rowOff>
    </xdr:to>
    <xdr:pic>
      <xdr:nvPicPr>
        <xdr:cNvPr id="29" name="Grafik 28" descr="page1image2270702192">
          <a:extLst>
            <a:ext uri="{FF2B5EF4-FFF2-40B4-BE49-F238E27FC236}">
              <a16:creationId xmlns:a16="http://schemas.microsoft.com/office/drawing/2014/main" id="{2DD4495D-AC96-274A-B591-7BA578056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749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685800</xdr:colOff>
      <xdr:row>0</xdr:row>
      <xdr:rowOff>0</xdr:rowOff>
    </xdr:from>
    <xdr:to>
      <xdr:col>21</xdr:col>
      <xdr:colOff>317500</xdr:colOff>
      <xdr:row>0</xdr:row>
      <xdr:rowOff>0</xdr:rowOff>
    </xdr:to>
    <xdr:pic>
      <xdr:nvPicPr>
        <xdr:cNvPr id="30" name="Grafik 29" descr="page1image2270702480">
          <a:extLst>
            <a:ext uri="{FF2B5EF4-FFF2-40B4-BE49-F238E27FC236}">
              <a16:creationId xmlns:a16="http://schemas.microsoft.com/office/drawing/2014/main" id="{24AA4D56-6FD6-3549-80CE-CC585EEE6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703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330200</xdr:colOff>
      <xdr:row>0</xdr:row>
      <xdr:rowOff>0</xdr:rowOff>
    </xdr:from>
    <xdr:to>
      <xdr:col>22</xdr:col>
      <xdr:colOff>787400</xdr:colOff>
      <xdr:row>0</xdr:row>
      <xdr:rowOff>0</xdr:rowOff>
    </xdr:to>
    <xdr:pic>
      <xdr:nvPicPr>
        <xdr:cNvPr id="31" name="Grafik 30" descr="page1image2270702800">
          <a:extLst>
            <a:ext uri="{FF2B5EF4-FFF2-40B4-BE49-F238E27FC236}">
              <a16:creationId xmlns:a16="http://schemas.microsoft.com/office/drawing/2014/main" id="{E58D6C8B-0056-F245-AFF8-3B028B8D2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65700" y="32512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52</xdr:row>
      <xdr:rowOff>0</xdr:rowOff>
    </xdr:from>
    <xdr:ext cx="1282700" cy="0"/>
    <xdr:pic>
      <xdr:nvPicPr>
        <xdr:cNvPr id="47" name="Grafik 46" descr="page1image2270698352">
          <a:extLst>
            <a:ext uri="{FF2B5EF4-FFF2-40B4-BE49-F238E27FC236}">
              <a16:creationId xmlns:a16="http://schemas.microsoft.com/office/drawing/2014/main" id="{C1C2860F-9DEE-D24C-A86D-E27ACA4C0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34671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228600</xdr:colOff>
      <xdr:row>52</xdr:row>
      <xdr:rowOff>0</xdr:rowOff>
    </xdr:from>
    <xdr:ext cx="1282700" cy="0"/>
    <xdr:pic>
      <xdr:nvPicPr>
        <xdr:cNvPr id="52" name="Grafik 51" descr="page1image2270699920">
          <a:extLst>
            <a:ext uri="{FF2B5EF4-FFF2-40B4-BE49-F238E27FC236}">
              <a16:creationId xmlns:a16="http://schemas.microsoft.com/office/drawing/2014/main" id="{A1100CC8-C930-ED43-845E-AAFF631ACB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34671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10</xdr:col>
      <xdr:colOff>342900</xdr:colOff>
      <xdr:row>52</xdr:row>
      <xdr:rowOff>0</xdr:rowOff>
    </xdr:from>
    <xdr:ext cx="1282700" cy="0"/>
    <xdr:pic>
      <xdr:nvPicPr>
        <xdr:cNvPr id="54" name="Grafik 53" descr="page1image2270700496">
          <a:extLst>
            <a:ext uri="{FF2B5EF4-FFF2-40B4-BE49-F238E27FC236}">
              <a16:creationId xmlns:a16="http://schemas.microsoft.com/office/drawing/2014/main" id="{4D3A695C-A79F-EA46-ADC0-B37D060CC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9400" y="34671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812800</xdr:colOff>
      <xdr:row>52</xdr:row>
      <xdr:rowOff>0</xdr:rowOff>
    </xdr:from>
    <xdr:ext cx="1282700" cy="0"/>
    <xdr:pic>
      <xdr:nvPicPr>
        <xdr:cNvPr id="55" name="Grafik 54" descr="page1image2270700784">
          <a:extLst>
            <a:ext uri="{FF2B5EF4-FFF2-40B4-BE49-F238E27FC236}">
              <a16:creationId xmlns:a16="http://schemas.microsoft.com/office/drawing/2014/main" id="{A2008535-C5B4-E14D-B6A2-7DD7D2F34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4800" y="34671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13</xdr:col>
      <xdr:colOff>457200</xdr:colOff>
      <xdr:row>52</xdr:row>
      <xdr:rowOff>0</xdr:rowOff>
    </xdr:from>
    <xdr:ext cx="1282700" cy="0"/>
    <xdr:pic>
      <xdr:nvPicPr>
        <xdr:cNvPr id="56" name="Grafik 55" descr="page1image2270701328">
          <a:extLst>
            <a:ext uri="{FF2B5EF4-FFF2-40B4-BE49-F238E27FC236}">
              <a16:creationId xmlns:a16="http://schemas.microsoft.com/office/drawing/2014/main" id="{2933020D-1008-B24B-9F8D-6BDE96419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0200" y="34671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15</xdr:col>
      <xdr:colOff>101600</xdr:colOff>
      <xdr:row>52</xdr:row>
      <xdr:rowOff>0</xdr:rowOff>
    </xdr:from>
    <xdr:ext cx="1282700" cy="0"/>
    <xdr:pic>
      <xdr:nvPicPr>
        <xdr:cNvPr id="57" name="Grafik 56" descr="page1image2270701616">
          <a:extLst>
            <a:ext uri="{FF2B5EF4-FFF2-40B4-BE49-F238E27FC236}">
              <a16:creationId xmlns:a16="http://schemas.microsoft.com/office/drawing/2014/main" id="{339FDE06-BFDD-6249-A2EF-2290BA413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25600" y="34671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571500</xdr:colOff>
      <xdr:row>52</xdr:row>
      <xdr:rowOff>0</xdr:rowOff>
    </xdr:from>
    <xdr:ext cx="1282700" cy="0"/>
    <xdr:pic>
      <xdr:nvPicPr>
        <xdr:cNvPr id="58" name="Grafik 57" descr="page1image2270701904">
          <a:extLst>
            <a:ext uri="{FF2B5EF4-FFF2-40B4-BE49-F238E27FC236}">
              <a16:creationId xmlns:a16="http://schemas.microsoft.com/office/drawing/2014/main" id="{6DB017FD-1814-F747-B324-6E0513C61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0" y="34671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18</xdr:col>
      <xdr:colOff>215900</xdr:colOff>
      <xdr:row>52</xdr:row>
      <xdr:rowOff>0</xdr:rowOff>
    </xdr:from>
    <xdr:ext cx="1282700" cy="0"/>
    <xdr:pic>
      <xdr:nvPicPr>
        <xdr:cNvPr id="59" name="Grafik 58" descr="page1image2270702192">
          <a:extLst>
            <a:ext uri="{FF2B5EF4-FFF2-40B4-BE49-F238E27FC236}">
              <a16:creationId xmlns:a16="http://schemas.microsoft.com/office/drawing/2014/main" id="{F617CCE6-4A9A-FB42-A026-D76681DE0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0" y="34671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19</xdr:col>
      <xdr:colOff>685800</xdr:colOff>
      <xdr:row>52</xdr:row>
      <xdr:rowOff>0</xdr:rowOff>
    </xdr:from>
    <xdr:ext cx="1282700" cy="0"/>
    <xdr:pic>
      <xdr:nvPicPr>
        <xdr:cNvPr id="60" name="Grafik 59" descr="page1image2270702480">
          <a:extLst>
            <a:ext uri="{FF2B5EF4-FFF2-40B4-BE49-F238E27FC236}">
              <a16:creationId xmlns:a16="http://schemas.microsoft.com/office/drawing/2014/main" id="{AA9B0728-2273-EB47-8003-AF31E9789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11800" y="34671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330200</xdr:colOff>
      <xdr:row>52</xdr:row>
      <xdr:rowOff>0</xdr:rowOff>
    </xdr:from>
    <xdr:ext cx="1282700" cy="0"/>
    <xdr:pic>
      <xdr:nvPicPr>
        <xdr:cNvPr id="61" name="Grafik 60" descr="page1image2270702800">
          <a:extLst>
            <a:ext uri="{FF2B5EF4-FFF2-40B4-BE49-F238E27FC236}">
              <a16:creationId xmlns:a16="http://schemas.microsoft.com/office/drawing/2014/main" id="{EF6CB73A-FBB7-C64A-BE38-E6E78795F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07200" y="34671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61</xdr:row>
      <xdr:rowOff>0</xdr:rowOff>
    </xdr:from>
    <xdr:ext cx="1282700" cy="0"/>
    <xdr:pic>
      <xdr:nvPicPr>
        <xdr:cNvPr id="77" name="Grafik 76" descr="page1image2270698352">
          <a:extLst>
            <a:ext uri="{FF2B5EF4-FFF2-40B4-BE49-F238E27FC236}">
              <a16:creationId xmlns:a16="http://schemas.microsoft.com/office/drawing/2014/main" id="{BB7B1741-A509-284B-8FE1-BEFC8A881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191389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61</xdr:row>
      <xdr:rowOff>0</xdr:rowOff>
    </xdr:from>
    <xdr:ext cx="1282700" cy="0"/>
    <xdr:pic>
      <xdr:nvPicPr>
        <xdr:cNvPr id="78" name="Grafik 77" descr="page1image2270698768">
          <a:extLst>
            <a:ext uri="{FF2B5EF4-FFF2-40B4-BE49-F238E27FC236}">
              <a16:creationId xmlns:a16="http://schemas.microsoft.com/office/drawing/2014/main" id="{C1A16725-1332-D04A-AFB1-7843BD481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191389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114300</xdr:colOff>
      <xdr:row>62</xdr:row>
      <xdr:rowOff>0</xdr:rowOff>
    </xdr:from>
    <xdr:ext cx="1282700" cy="0"/>
    <xdr:pic>
      <xdr:nvPicPr>
        <xdr:cNvPr id="80" name="Grafik 79" descr="page1image2270699344">
          <a:extLst>
            <a:ext uri="{FF2B5EF4-FFF2-40B4-BE49-F238E27FC236}">
              <a16:creationId xmlns:a16="http://schemas.microsoft.com/office/drawing/2014/main" id="{2EAB2DD9-4F9F-B14D-9B8B-EA030B468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1600" y="191389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15</xdr:col>
      <xdr:colOff>584200</xdr:colOff>
      <xdr:row>62</xdr:row>
      <xdr:rowOff>0</xdr:rowOff>
    </xdr:from>
    <xdr:ext cx="1282700" cy="0"/>
    <xdr:pic>
      <xdr:nvPicPr>
        <xdr:cNvPr id="81" name="Grafik 80" descr="page1image2270699632">
          <a:extLst>
            <a:ext uri="{FF2B5EF4-FFF2-40B4-BE49-F238E27FC236}">
              <a16:creationId xmlns:a16="http://schemas.microsoft.com/office/drawing/2014/main" id="{9BD13FBB-F8D6-3B45-B8CB-6AEA3F2A6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191389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698500</xdr:colOff>
      <xdr:row>62</xdr:row>
      <xdr:rowOff>0</xdr:rowOff>
    </xdr:from>
    <xdr:ext cx="1282700" cy="0"/>
    <xdr:pic>
      <xdr:nvPicPr>
        <xdr:cNvPr id="83" name="Grafik 82" descr="page1image2270700208">
          <a:extLst>
            <a:ext uri="{FF2B5EF4-FFF2-40B4-BE49-F238E27FC236}">
              <a16:creationId xmlns:a16="http://schemas.microsoft.com/office/drawing/2014/main" id="{316F8F00-0FCD-F742-817E-11385CEE2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91389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342900</xdr:colOff>
      <xdr:row>62</xdr:row>
      <xdr:rowOff>0</xdr:rowOff>
    </xdr:from>
    <xdr:ext cx="1282700" cy="0"/>
    <xdr:pic>
      <xdr:nvPicPr>
        <xdr:cNvPr id="84" name="Grafik 83" descr="page1image2270700496">
          <a:extLst>
            <a:ext uri="{FF2B5EF4-FFF2-40B4-BE49-F238E27FC236}">
              <a16:creationId xmlns:a16="http://schemas.microsoft.com/office/drawing/2014/main" id="{84057353-4806-F84E-BCE7-FE7ACCE67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9400" y="191389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15</xdr:col>
      <xdr:colOff>812800</xdr:colOff>
      <xdr:row>62</xdr:row>
      <xdr:rowOff>0</xdr:rowOff>
    </xdr:from>
    <xdr:ext cx="1282700" cy="0"/>
    <xdr:pic>
      <xdr:nvPicPr>
        <xdr:cNvPr id="85" name="Grafik 84" descr="page1image2270700784">
          <a:extLst>
            <a:ext uri="{FF2B5EF4-FFF2-40B4-BE49-F238E27FC236}">
              <a16:creationId xmlns:a16="http://schemas.microsoft.com/office/drawing/2014/main" id="{D89AF72A-D85B-AB48-B37B-91F9040BA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4800" y="191389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14</xdr:col>
      <xdr:colOff>101600</xdr:colOff>
      <xdr:row>62</xdr:row>
      <xdr:rowOff>0</xdr:rowOff>
    </xdr:from>
    <xdr:ext cx="1282700" cy="0"/>
    <xdr:pic>
      <xdr:nvPicPr>
        <xdr:cNvPr id="87" name="Grafik 86" descr="page1image2270701616">
          <a:extLst>
            <a:ext uri="{FF2B5EF4-FFF2-40B4-BE49-F238E27FC236}">
              <a16:creationId xmlns:a16="http://schemas.microsoft.com/office/drawing/2014/main" id="{C0305CEA-664F-F74F-BC74-A18A657F8B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25600" y="191389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15</xdr:col>
      <xdr:colOff>571500</xdr:colOff>
      <xdr:row>62</xdr:row>
      <xdr:rowOff>0</xdr:rowOff>
    </xdr:from>
    <xdr:ext cx="1282700" cy="0"/>
    <xdr:pic>
      <xdr:nvPicPr>
        <xdr:cNvPr id="88" name="Grafik 87" descr="page1image2270701904">
          <a:extLst>
            <a:ext uri="{FF2B5EF4-FFF2-40B4-BE49-F238E27FC236}">
              <a16:creationId xmlns:a16="http://schemas.microsoft.com/office/drawing/2014/main" id="{2E3931B0-1C44-0947-A716-D5E5CCE5D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0" y="191389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17</xdr:col>
      <xdr:colOff>685800</xdr:colOff>
      <xdr:row>62</xdr:row>
      <xdr:rowOff>0</xdr:rowOff>
    </xdr:from>
    <xdr:ext cx="1282700" cy="0"/>
    <xdr:pic>
      <xdr:nvPicPr>
        <xdr:cNvPr id="90" name="Grafik 89" descr="page1image2270702480">
          <a:extLst>
            <a:ext uri="{FF2B5EF4-FFF2-40B4-BE49-F238E27FC236}">
              <a16:creationId xmlns:a16="http://schemas.microsoft.com/office/drawing/2014/main" id="{65AEE158-89EA-604F-B3CE-1F6BA2A6E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11800" y="191389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19</xdr:col>
      <xdr:colOff>330200</xdr:colOff>
      <xdr:row>62</xdr:row>
      <xdr:rowOff>0</xdr:rowOff>
    </xdr:from>
    <xdr:ext cx="1282700" cy="0"/>
    <xdr:pic>
      <xdr:nvPicPr>
        <xdr:cNvPr id="91" name="Grafik 90" descr="page1image2270702800">
          <a:extLst>
            <a:ext uri="{FF2B5EF4-FFF2-40B4-BE49-F238E27FC236}">
              <a16:creationId xmlns:a16="http://schemas.microsoft.com/office/drawing/2014/main" id="{7DC28607-ED6C-E343-B8B6-9DDAEE30F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07200" y="19138900"/>
          <a:ext cx="12827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Mac\Home\Mac\Home\Dokumente%20und%20Einstellungen\Prof.%20Dr.%20B&#246;sch\Eigene%20Dateien\fhs\finanzierung%20B&#246;sch\WS%202006-07\jahresabschlussanalyse\zahlen%20f&#252;r%20jahresabschl&#252;sse%20aus%20datastre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data"/>
      <sheetName val="key ratios 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2:H43"/>
  <sheetViews>
    <sheetView showGridLines="0" topLeftCell="A19" workbookViewId="0">
      <selection activeCell="C40" sqref="C40:C43"/>
    </sheetView>
  </sheetViews>
  <sheetFormatPr defaultColWidth="10.8125" defaultRowHeight="14.25"/>
  <cols>
    <col min="1" max="1" width="10.8125" style="2"/>
    <col min="2" max="2" width="64.1875" style="2" customWidth="1"/>
    <col min="3" max="16384" width="10.8125" style="2"/>
  </cols>
  <sheetData>
    <row r="2" spans="2:8">
      <c r="F2" s="120"/>
      <c r="G2" s="120"/>
      <c r="H2" s="120"/>
    </row>
    <row r="3" spans="2:8">
      <c r="B3" s="33" t="s">
        <v>95</v>
      </c>
      <c r="C3" s="34"/>
      <c r="D3" s="34"/>
      <c r="E3" s="35"/>
      <c r="F3" s="74"/>
      <c r="G3" s="74"/>
      <c r="H3" s="74"/>
    </row>
    <row r="4" spans="2:8">
      <c r="B4" s="121"/>
      <c r="C4" s="120"/>
      <c r="D4" s="120"/>
      <c r="E4" s="122"/>
      <c r="F4" s="120"/>
      <c r="G4" s="120"/>
      <c r="H4" s="120"/>
    </row>
    <row r="5" spans="2:8">
      <c r="B5" s="121" t="s">
        <v>3</v>
      </c>
      <c r="C5" s="123">
        <v>10000000</v>
      </c>
      <c r="D5" s="120"/>
      <c r="E5" s="122"/>
    </row>
    <row r="6" spans="2:8" s="3" customFormat="1">
      <c r="B6" s="121" t="s">
        <v>2</v>
      </c>
      <c r="C6" s="123">
        <v>1000000</v>
      </c>
      <c r="D6" s="124"/>
      <c r="E6" s="125"/>
    </row>
    <row r="7" spans="2:8" s="3" customFormat="1">
      <c r="B7" s="126"/>
      <c r="C7" s="124"/>
      <c r="D7" s="124"/>
      <c r="E7" s="125"/>
    </row>
    <row r="8" spans="2:8" s="3" customFormat="1">
      <c r="B8" s="126" t="s">
        <v>5</v>
      </c>
      <c r="C8" s="127">
        <v>0.04</v>
      </c>
      <c r="D8" s="124"/>
      <c r="E8" s="125"/>
    </row>
    <row r="9" spans="2:8" s="3" customFormat="1">
      <c r="B9" s="126" t="s">
        <v>19</v>
      </c>
      <c r="C9" s="128">
        <v>1</v>
      </c>
      <c r="D9" s="129" t="s">
        <v>0</v>
      </c>
      <c r="E9" s="130">
        <f>C9/10000</f>
        <v>1E-4</v>
      </c>
    </row>
    <row r="10" spans="2:8" s="3" customFormat="1">
      <c r="B10" s="126" t="s">
        <v>18</v>
      </c>
      <c r="C10" s="128">
        <v>100</v>
      </c>
      <c r="D10" s="129" t="s">
        <v>0</v>
      </c>
      <c r="E10" s="130">
        <f>C10/10000</f>
        <v>0.01</v>
      </c>
    </row>
    <row r="11" spans="2:8" s="3" customFormat="1">
      <c r="B11" s="126" t="s">
        <v>7</v>
      </c>
      <c r="C11" s="128">
        <v>200</v>
      </c>
      <c r="D11" s="129" t="s">
        <v>0</v>
      </c>
      <c r="E11" s="130">
        <f>C11/10000</f>
        <v>0.02</v>
      </c>
    </row>
    <row r="12" spans="2:8" s="3" customFormat="1">
      <c r="B12" s="126"/>
      <c r="C12" s="124"/>
      <c r="D12" s="124"/>
      <c r="E12" s="125"/>
    </row>
    <row r="13" spans="2:8" s="3" customFormat="1">
      <c r="B13" s="126" t="s">
        <v>10</v>
      </c>
      <c r="C13" s="123">
        <v>180</v>
      </c>
      <c r="D13" s="124" t="s">
        <v>12</v>
      </c>
      <c r="E13" s="125"/>
    </row>
    <row r="14" spans="2:8" s="3" customFormat="1">
      <c r="B14" s="126" t="s">
        <v>11</v>
      </c>
      <c r="C14" s="123">
        <v>90</v>
      </c>
      <c r="D14" s="124" t="s">
        <v>14</v>
      </c>
      <c r="E14" s="125"/>
    </row>
    <row r="15" spans="2:8" s="3" customFormat="1">
      <c r="B15" s="126" t="s">
        <v>13</v>
      </c>
      <c r="C15" s="123">
        <v>360</v>
      </c>
      <c r="D15" s="124" t="s">
        <v>14</v>
      </c>
      <c r="E15" s="125"/>
    </row>
    <row r="16" spans="2:8" s="3" customFormat="1">
      <c r="B16" s="126"/>
      <c r="C16" s="124"/>
      <c r="D16" s="124"/>
      <c r="E16" s="125"/>
    </row>
    <row r="17" spans="2:5" s="3" customFormat="1">
      <c r="B17" s="131" t="s">
        <v>23</v>
      </c>
      <c r="C17" s="132">
        <v>100</v>
      </c>
      <c r="D17" s="133" t="s">
        <v>0</v>
      </c>
      <c r="E17" s="134">
        <f>C17/10000</f>
        <v>0.01</v>
      </c>
    </row>
    <row r="18" spans="2:5" s="3" customFormat="1"/>
    <row r="19" spans="2:5" s="3" customFormat="1"/>
    <row r="20" spans="2:5" s="3" customFormat="1"/>
    <row r="21" spans="2:5">
      <c r="B21" s="33" t="s">
        <v>96</v>
      </c>
      <c r="C21" s="34"/>
      <c r="D21" s="34"/>
      <c r="E21" s="35"/>
    </row>
    <row r="22" spans="2:5">
      <c r="B22" s="121"/>
      <c r="C22" s="120"/>
      <c r="D22" s="120"/>
      <c r="E22" s="122"/>
    </row>
    <row r="23" spans="2:5">
      <c r="B23" s="121" t="s">
        <v>16</v>
      </c>
      <c r="C23" s="123">
        <v>10000000</v>
      </c>
      <c r="D23" s="120" t="s">
        <v>17</v>
      </c>
      <c r="E23" s="122"/>
    </row>
    <row r="24" spans="2:5">
      <c r="B24" s="121" t="s">
        <v>42</v>
      </c>
      <c r="C24" s="123">
        <v>90</v>
      </c>
      <c r="D24" s="120" t="s">
        <v>14</v>
      </c>
      <c r="E24" s="122"/>
    </row>
    <row r="25" spans="2:5">
      <c r="B25" s="121" t="s">
        <v>30</v>
      </c>
      <c r="C25" s="127">
        <v>0.04</v>
      </c>
      <c r="D25" s="120"/>
      <c r="E25" s="122"/>
    </row>
    <row r="26" spans="2:5">
      <c r="B26" s="121" t="s">
        <v>29</v>
      </c>
      <c r="C26" s="127">
        <v>0.05</v>
      </c>
      <c r="D26" s="120"/>
      <c r="E26" s="122"/>
    </row>
    <row r="27" spans="2:5">
      <c r="B27" s="135" t="s">
        <v>28</v>
      </c>
      <c r="C27" s="136">
        <v>0.01</v>
      </c>
      <c r="D27" s="4"/>
      <c r="E27" s="137"/>
    </row>
    <row r="31" spans="2:5">
      <c r="B31" s="33" t="s">
        <v>150</v>
      </c>
      <c r="C31" s="34"/>
      <c r="D31" s="34"/>
      <c r="E31" s="35"/>
    </row>
    <row r="32" spans="2:5">
      <c r="B32" s="238"/>
      <c r="C32" s="239"/>
      <c r="D32" s="239"/>
      <c r="E32" s="240"/>
    </row>
    <row r="33" spans="2:5">
      <c r="B33" s="126" t="s">
        <v>10</v>
      </c>
      <c r="C33" s="123">
        <v>180</v>
      </c>
      <c r="D33" s="124" t="s">
        <v>12</v>
      </c>
      <c r="E33" s="125"/>
    </row>
    <row r="34" spans="2:5">
      <c r="B34" s="126" t="s">
        <v>11</v>
      </c>
      <c r="C34" s="123">
        <v>90</v>
      </c>
      <c r="D34" s="124" t="s">
        <v>14</v>
      </c>
      <c r="E34" s="125"/>
    </row>
    <row r="35" spans="2:5">
      <c r="B35" s="126" t="s">
        <v>13</v>
      </c>
      <c r="C35" s="123">
        <v>360</v>
      </c>
      <c r="D35" s="124" t="s">
        <v>14</v>
      </c>
      <c r="E35" s="125"/>
    </row>
    <row r="36" spans="2:5">
      <c r="B36" s="121"/>
      <c r="C36" s="120"/>
      <c r="D36" s="120"/>
      <c r="E36" s="122"/>
    </row>
    <row r="37" spans="2:5" ht="15.75">
      <c r="B37" s="241" t="s">
        <v>46</v>
      </c>
      <c r="C37" s="243">
        <v>5.5E-2</v>
      </c>
      <c r="D37" s="120"/>
      <c r="E37" s="122"/>
    </row>
    <row r="38" spans="2:5" ht="15.75">
      <c r="B38" s="241" t="s">
        <v>47</v>
      </c>
      <c r="C38" s="243">
        <v>0.05</v>
      </c>
      <c r="D38" s="120"/>
      <c r="E38" s="122"/>
    </row>
    <row r="39" spans="2:5">
      <c r="B39" s="121"/>
      <c r="C39" s="120"/>
      <c r="D39" s="120"/>
      <c r="E39" s="122"/>
    </row>
    <row r="40" spans="2:5" ht="16.5">
      <c r="B40" s="241" t="s">
        <v>49</v>
      </c>
      <c r="C40" s="244">
        <v>5.45E-2</v>
      </c>
      <c r="D40" s="120"/>
      <c r="E40" s="122"/>
    </row>
    <row r="41" spans="2:5" ht="16.5">
      <c r="B41" s="241" t="s">
        <v>50</v>
      </c>
      <c r="C41" s="244">
        <v>5.5500000000000001E-2</v>
      </c>
      <c r="D41" s="120"/>
      <c r="E41" s="122"/>
    </row>
    <row r="42" spans="2:5" ht="16.5">
      <c r="B42" s="241" t="s">
        <v>51</v>
      </c>
      <c r="C42" s="244">
        <v>4.9500000000000002E-2</v>
      </c>
      <c r="D42" s="120"/>
      <c r="E42" s="122"/>
    </row>
    <row r="43" spans="2:5" ht="15.75">
      <c r="B43" s="242" t="s">
        <v>52</v>
      </c>
      <c r="C43" s="245">
        <v>5.0500000000000003E-2</v>
      </c>
      <c r="D43" s="4"/>
      <c r="E43" s="13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2:G110"/>
  <sheetViews>
    <sheetView showGridLines="0" topLeftCell="A69" zoomScaleNormal="100" workbookViewId="0">
      <selection activeCell="C107" sqref="C107"/>
    </sheetView>
  </sheetViews>
  <sheetFormatPr defaultColWidth="10.8125" defaultRowHeight="14.25"/>
  <cols>
    <col min="1" max="1" width="10.8125" style="109"/>
    <col min="2" max="2" width="64.1875" style="109" customWidth="1"/>
    <col min="3" max="3" width="15.6875" style="109" customWidth="1"/>
    <col min="4" max="26" width="10.8125" style="109"/>
    <col min="27" max="27" width="0" style="109" hidden="1" customWidth="1"/>
    <col min="28" max="16384" width="10.8125" style="109"/>
  </cols>
  <sheetData>
    <row r="2" spans="2:3">
      <c r="B2" s="33" t="s">
        <v>95</v>
      </c>
      <c r="C2" s="35"/>
    </row>
    <row r="4" spans="2:3">
      <c r="B4" s="109" t="s">
        <v>54</v>
      </c>
    </row>
    <row r="5" spans="2:3">
      <c r="B5" s="109" t="s">
        <v>55</v>
      </c>
      <c r="C5" s="110">
        <f>'Annahmen Geldmarktfuture, FRA'!C5</f>
        <v>10000000</v>
      </c>
    </row>
    <row r="6" spans="2:3">
      <c r="B6" s="109" t="s">
        <v>1</v>
      </c>
      <c r="C6" s="110">
        <f>'Annahmen Geldmarktfuture, FRA'!C6</f>
        <v>1000000</v>
      </c>
    </row>
    <row r="7" spans="2:3">
      <c r="B7" s="109" t="s">
        <v>53</v>
      </c>
      <c r="C7" s="110">
        <v>90</v>
      </c>
    </row>
    <row r="9" spans="2:3">
      <c r="B9" s="1" t="s">
        <v>97</v>
      </c>
    </row>
    <row r="11" spans="2:3">
      <c r="B11" s="109" t="s">
        <v>4</v>
      </c>
      <c r="C11" s="111">
        <f>C5/C6</f>
        <v>10</v>
      </c>
    </row>
    <row r="14" spans="2:3">
      <c r="B14" s="1" t="s">
        <v>99</v>
      </c>
    </row>
    <row r="16" spans="2:3">
      <c r="B16" s="109" t="s">
        <v>6</v>
      </c>
      <c r="C16" s="112">
        <f>'Annahmen Geldmarktfuture, FRA'!C8</f>
        <v>0.04</v>
      </c>
    </row>
    <row r="17" spans="2:3" ht="28.5">
      <c r="B17" s="138" t="s">
        <v>98</v>
      </c>
      <c r="C17" s="112">
        <v>0.02</v>
      </c>
    </row>
    <row r="18" spans="2:3">
      <c r="B18" s="109" t="s">
        <v>8</v>
      </c>
      <c r="C18" s="112">
        <f>C16+C17</f>
        <v>0.06</v>
      </c>
    </row>
    <row r="20" spans="2:3">
      <c r="B20" s="109" t="s">
        <v>100</v>
      </c>
      <c r="C20" s="110">
        <f>'Annahmen Geldmarktfuture, FRA'!E9*C7/'Annahmen Geldmarktfuture, FRA'!C15*C5</f>
        <v>250.00000000000006</v>
      </c>
    </row>
    <row r="21" spans="2:3">
      <c r="B21" s="109" t="s">
        <v>9</v>
      </c>
      <c r="C21" s="110">
        <f>C20*'Annahmen Geldmarktfuture, FRA'!C11</f>
        <v>50000.000000000015</v>
      </c>
    </row>
    <row r="22" spans="2:3">
      <c r="B22" s="237" t="s">
        <v>148</v>
      </c>
      <c r="C22" s="110">
        <f>C20*'Annahmen Geldmarktfuture, FRA'!C11*C11</f>
        <v>500000.00000000012</v>
      </c>
    </row>
    <row r="24" spans="2:3">
      <c r="B24" s="1" t="s">
        <v>101</v>
      </c>
    </row>
    <row r="25" spans="2:3">
      <c r="B25" s="1"/>
    </row>
    <row r="26" spans="2:3">
      <c r="B26" s="109" t="s">
        <v>20</v>
      </c>
    </row>
    <row r="28" spans="2:3">
      <c r="B28" s="109" t="s">
        <v>21</v>
      </c>
      <c r="C28" s="112">
        <f>'Annahmen Geldmarktfuture, FRA'!E11</f>
        <v>0.02</v>
      </c>
    </row>
    <row r="29" spans="2:3" ht="28.5">
      <c r="B29" s="140" t="s">
        <v>112</v>
      </c>
      <c r="C29" s="110">
        <f>C5*C7/'Annahmen Geldmarktfuture, FRA'!C15*C28</f>
        <v>50000</v>
      </c>
    </row>
    <row r="30" spans="2:3" s="116" customFormat="1">
      <c r="B30" s="237" t="s">
        <v>149</v>
      </c>
      <c r="C30" s="110">
        <f>C5*C7/'Annahmen Geldmarktfuture, FRA'!C15*C28*C11</f>
        <v>500000</v>
      </c>
    </row>
    <row r="32" spans="2:3">
      <c r="B32" s="1" t="s">
        <v>102</v>
      </c>
    </row>
    <row r="33" spans="2:7">
      <c r="B33" s="1"/>
    </row>
    <row r="34" spans="2:7">
      <c r="B34" s="109" t="s">
        <v>25</v>
      </c>
      <c r="C34" s="112">
        <f>'Annahmen Geldmarktfuture, FRA'!E17</f>
        <v>0.01</v>
      </c>
    </row>
    <row r="35" spans="2:7">
      <c r="B35" s="109" t="s">
        <v>22</v>
      </c>
      <c r="C35" s="110">
        <f>C20*'Annahmen Geldmarktfuture, FRA'!C17</f>
        <v>25000.000000000007</v>
      </c>
    </row>
    <row r="36" spans="2:7">
      <c r="B36" s="109" t="s">
        <v>24</v>
      </c>
      <c r="C36" s="110">
        <f>C5*C7/'Annahmen Geldmarktfuture, FRA'!C15*C34</f>
        <v>25000</v>
      </c>
    </row>
    <row r="38" spans="2:7">
      <c r="B38" s="113"/>
      <c r="C38" s="113"/>
      <c r="D38" s="113"/>
      <c r="E38" s="113"/>
      <c r="F38" s="113"/>
      <c r="G38" s="113"/>
    </row>
    <row r="41" spans="2:7">
      <c r="B41" s="33" t="s">
        <v>56</v>
      </c>
      <c r="C41" s="35"/>
    </row>
    <row r="43" spans="2:7">
      <c r="B43" s="109" t="s">
        <v>16</v>
      </c>
      <c r="C43" s="110">
        <f>'Annahmen Geldmarktfuture, FRA'!C23</f>
        <v>10000000</v>
      </c>
      <c r="D43" s="109" t="s">
        <v>17</v>
      </c>
    </row>
    <row r="44" spans="2:7">
      <c r="B44" s="109" t="s">
        <v>15</v>
      </c>
      <c r="C44" s="110">
        <f>'Annahmen Geldmarktfuture, FRA'!C24</f>
        <v>90</v>
      </c>
      <c r="D44" s="109" t="s">
        <v>14</v>
      </c>
    </row>
    <row r="46" spans="2:7">
      <c r="B46" s="109" t="s">
        <v>26</v>
      </c>
    </row>
    <row r="48" spans="2:7" ht="28.5">
      <c r="B48" s="138" t="s">
        <v>103</v>
      </c>
      <c r="C48" s="112">
        <f>'Annahmen Geldmarktfuture, FRA'!C25</f>
        <v>0.04</v>
      </c>
    </row>
    <row r="49" spans="2:3">
      <c r="B49" s="109" t="s">
        <v>27</v>
      </c>
      <c r="C49" s="112">
        <f>'Annahmen Geldmarktfuture, FRA'!C25+'Annahmen Geldmarktfuture, FRA'!C27</f>
        <v>0.05</v>
      </c>
    </row>
    <row r="50" spans="2:3" ht="28.5">
      <c r="B50" s="138" t="s">
        <v>104</v>
      </c>
      <c r="C50" s="112">
        <f>'Annahmen Geldmarktfuture, FRA'!C26+'Annahmen Geldmarktfuture, FRA'!C27</f>
        <v>6.0000000000000005E-2</v>
      </c>
    </row>
    <row r="51" spans="2:3" s="116" customFormat="1">
      <c r="B51" s="139"/>
      <c r="C51" s="118"/>
    </row>
    <row r="53" spans="2:3">
      <c r="B53" s="1" t="s">
        <v>105</v>
      </c>
    </row>
    <row r="55" spans="2:3">
      <c r="B55" s="109" t="s">
        <v>31</v>
      </c>
      <c r="C55" s="110">
        <f>C43*(C50-C49)*C44/'Annahmen Geldmarktfuture, FRA'!C15</f>
        <v>25000.000000000004</v>
      </c>
    </row>
    <row r="56" spans="2:3" s="116" customFormat="1">
      <c r="C56" s="115"/>
    </row>
    <row r="58" spans="2:3">
      <c r="B58" s="1" t="s">
        <v>106</v>
      </c>
    </row>
    <row r="59" spans="2:3">
      <c r="B59" s="1"/>
    </row>
    <row r="60" spans="2:3">
      <c r="B60" s="109" t="s">
        <v>20</v>
      </c>
    </row>
    <row r="62" spans="2:3">
      <c r="B62" s="109" t="s">
        <v>21</v>
      </c>
      <c r="C62" s="112">
        <f>C50-C49</f>
        <v>1.0000000000000002E-2</v>
      </c>
    </row>
    <row r="63" spans="2:3">
      <c r="B63" s="109" t="s">
        <v>57</v>
      </c>
      <c r="C63" s="110">
        <f>C43*C44/'Annahmen Geldmarktfuture, FRA'!C15*C62</f>
        <v>25000.000000000004</v>
      </c>
    </row>
    <row r="66" spans="2:3">
      <c r="B66" s="1" t="s">
        <v>107</v>
      </c>
    </row>
    <row r="67" spans="2:3">
      <c r="B67" s="1"/>
    </row>
    <row r="68" spans="2:3">
      <c r="B68" s="109" t="s">
        <v>108</v>
      </c>
    </row>
    <row r="70" spans="2:3">
      <c r="B70" s="109" t="s">
        <v>32</v>
      </c>
    </row>
    <row r="71" spans="2:3">
      <c r="B71" s="1"/>
    </row>
    <row r="72" spans="2:3" ht="42.75">
      <c r="B72" s="138" t="s">
        <v>109</v>
      </c>
    </row>
    <row r="73" spans="2:3">
      <c r="B73" s="1"/>
    </row>
    <row r="74" spans="2:3">
      <c r="B74" s="109" t="s">
        <v>33</v>
      </c>
      <c r="C74" s="112">
        <f>C50</f>
        <v>6.0000000000000005E-2</v>
      </c>
    </row>
    <row r="75" spans="2:3">
      <c r="B75" s="109" t="s">
        <v>34</v>
      </c>
      <c r="C75" s="114">
        <f>1/(1+C74)</f>
        <v>0.94339622641509424</v>
      </c>
    </row>
    <row r="76" spans="2:3">
      <c r="B76" s="109" t="s">
        <v>35</v>
      </c>
      <c r="C76" s="110">
        <f>C63*C75</f>
        <v>23584.905660377361</v>
      </c>
    </row>
    <row r="79" spans="2:3">
      <c r="B79" s="1" t="s">
        <v>110</v>
      </c>
    </row>
    <row r="81" spans="2:4">
      <c r="B81" s="109" t="s">
        <v>36</v>
      </c>
      <c r="C81" s="115"/>
      <c r="D81" s="116"/>
    </row>
    <row r="83" spans="2:4" ht="15.75">
      <c r="B83" s="109" t="s">
        <v>43</v>
      </c>
      <c r="C83" s="117">
        <f>('Annahmen Geldmarktfuture, FRA'!C33+'Annahmen Geldmarktfuture, FRA'!C34)/'Annahmen Geldmarktfuture, FRA'!C35</f>
        <v>0.75</v>
      </c>
    </row>
    <row r="84" spans="2:4" ht="15.75">
      <c r="B84" s="109" t="s">
        <v>44</v>
      </c>
      <c r="C84" s="117">
        <f>'Annahmen Geldmarktfuture, FRA'!C33/'Annahmen Geldmarktfuture, FRA'!C35</f>
        <v>0.5</v>
      </c>
    </row>
    <row r="85" spans="2:4" ht="15.75">
      <c r="B85" s="109" t="s">
        <v>45</v>
      </c>
      <c r="C85" s="117">
        <f>'Annahmen Geldmarktfuture, FRA'!C34/'Annahmen Geldmarktfuture, FRA'!C35</f>
        <v>0.25</v>
      </c>
    </row>
    <row r="87" spans="2:4" ht="15.75">
      <c r="B87" s="109" t="s">
        <v>46</v>
      </c>
      <c r="C87" s="112">
        <f>'Annahmen Geldmarktfuture, FRA'!C37</f>
        <v>5.5E-2</v>
      </c>
    </row>
    <row r="88" spans="2:4" ht="15.75">
      <c r="B88" s="109" t="s">
        <v>47</v>
      </c>
      <c r="C88" s="112">
        <v>0.05</v>
      </c>
    </row>
    <row r="90" spans="2:4">
      <c r="B90" s="109" t="s">
        <v>37</v>
      </c>
      <c r="C90" s="112">
        <f>((1+C87)^C83/(1+C88)^C84)^(1/C85)-1</f>
        <v>6.5071541950112222E-2</v>
      </c>
    </row>
    <row r="93" spans="2:4">
      <c r="B93" s="1" t="s">
        <v>111</v>
      </c>
    </row>
    <row r="95" spans="2:4">
      <c r="B95" s="109" t="s">
        <v>39</v>
      </c>
      <c r="C95" s="115"/>
      <c r="D95" s="116"/>
    </row>
    <row r="96" spans="2:4">
      <c r="B96" s="109" t="s">
        <v>40</v>
      </c>
      <c r="C96" s="115"/>
      <c r="D96" s="116"/>
    </row>
    <row r="97" spans="2:4">
      <c r="B97" s="109" t="s">
        <v>41</v>
      </c>
      <c r="C97" s="115"/>
      <c r="D97" s="116"/>
    </row>
    <row r="98" spans="2:4">
      <c r="C98" s="115"/>
      <c r="D98" s="116"/>
    </row>
    <row r="99" spans="2:4">
      <c r="B99" s="109" t="s">
        <v>36</v>
      </c>
      <c r="C99" s="115"/>
      <c r="D99" s="116"/>
    </row>
    <row r="101" spans="2:4" ht="15.75">
      <c r="B101" s="109" t="s">
        <v>43</v>
      </c>
      <c r="C101" s="117">
        <f>('Annahmen Geldmarktfuture, FRA'!C33+'Annahmen Geldmarktfuture, FRA'!C34)/'Annahmen Geldmarktfuture, FRA'!C35</f>
        <v>0.75</v>
      </c>
    </row>
    <row r="102" spans="2:4" ht="15.75">
      <c r="B102" s="109" t="s">
        <v>44</v>
      </c>
      <c r="C102" s="117">
        <f>'Annahmen Geldmarktfuture, FRA'!C33/'Annahmen Geldmarktfuture, FRA'!C35</f>
        <v>0.5</v>
      </c>
    </row>
    <row r="103" spans="2:4" ht="15.75">
      <c r="B103" s="109" t="s">
        <v>48</v>
      </c>
      <c r="C103" s="117">
        <f>'Annahmen Geldmarktfuture, FRA'!C34/'Annahmen Geldmarktfuture, FRA'!C35</f>
        <v>0.25</v>
      </c>
    </row>
    <row r="105" spans="2:4" ht="16.5">
      <c r="B105" s="109" t="s">
        <v>49</v>
      </c>
      <c r="C105" s="119">
        <f>'Annahmen Geldmarktfuture, FRA'!C40</f>
        <v>5.45E-2</v>
      </c>
    </row>
    <row r="106" spans="2:4" ht="16.5">
      <c r="B106" s="109" t="s">
        <v>50</v>
      </c>
      <c r="C106" s="119">
        <f>'Annahmen Geldmarktfuture, FRA'!C41</f>
        <v>5.5500000000000001E-2</v>
      </c>
    </row>
    <row r="107" spans="2:4" ht="16.5">
      <c r="B107" s="109" t="s">
        <v>51</v>
      </c>
      <c r="C107" s="119">
        <f>'Annahmen Geldmarktfuture, FRA'!C42</f>
        <v>4.9500000000000002E-2</v>
      </c>
    </row>
    <row r="108" spans="2:4" ht="15.75">
      <c r="B108" s="109" t="s">
        <v>52</v>
      </c>
      <c r="C108" s="119">
        <f>'Annahmen Geldmarktfuture, FRA'!C43</f>
        <v>5.0500000000000003E-2</v>
      </c>
    </row>
    <row r="109" spans="2:4">
      <c r="C109" s="118"/>
    </row>
    <row r="110" spans="2:4">
      <c r="B110" s="109" t="s">
        <v>37</v>
      </c>
      <c r="C110" s="112">
        <f>((1+C106)^C101/(1+C107)^C102)^(1/C103)-1</f>
        <v>6.7603102250873626E-2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3:J17"/>
  <sheetViews>
    <sheetView showGridLines="0" zoomScaleNormal="100" workbookViewId="0">
      <selection activeCell="B31" sqref="B31"/>
    </sheetView>
  </sheetViews>
  <sheetFormatPr defaultColWidth="11.5" defaultRowHeight="14.25"/>
  <cols>
    <col min="1" max="1" width="3.1875" style="5" customWidth="1"/>
    <col min="2" max="2" width="30.8125" style="5" customWidth="1"/>
    <col min="3" max="3" width="10" style="5" customWidth="1"/>
    <col min="4" max="4" width="12.6875" style="5" customWidth="1"/>
    <col min="5" max="6" width="12" style="5" customWidth="1"/>
    <col min="7" max="7" width="11.5" style="5"/>
    <col min="8" max="8" width="14.1875" style="5" customWidth="1"/>
    <col min="9" max="9" width="7.6875" style="5" customWidth="1"/>
    <col min="10" max="11" width="11.5" style="5"/>
    <col min="12" max="12" width="14.6875" style="5" bestFit="1" customWidth="1"/>
    <col min="13" max="13" width="15.5" style="5" bestFit="1" customWidth="1"/>
    <col min="14" max="16384" width="11.5" style="5"/>
  </cols>
  <sheetData>
    <row r="3" spans="2:10">
      <c r="B3" s="33" t="s">
        <v>94</v>
      </c>
      <c r="C3" s="34"/>
      <c r="D3" s="34"/>
      <c r="E3" s="34"/>
      <c r="F3" s="34"/>
      <c r="G3" s="34"/>
      <c r="H3" s="35"/>
      <c r="I3" s="80"/>
      <c r="J3" s="80"/>
    </row>
    <row r="4" spans="2:10">
      <c r="B4" s="37"/>
      <c r="C4" s="68"/>
      <c r="D4" s="68"/>
      <c r="E4" s="68"/>
      <c r="F4" s="68"/>
      <c r="G4" s="68"/>
      <c r="H4" s="69"/>
    </row>
    <row r="5" spans="2:10">
      <c r="B5" s="37" t="s">
        <v>66</v>
      </c>
      <c r="C5" s="98">
        <v>1000000</v>
      </c>
      <c r="D5" s="68"/>
      <c r="E5" s="68"/>
      <c r="F5" s="68"/>
      <c r="G5" s="68"/>
      <c r="H5" s="69"/>
    </row>
    <row r="6" spans="2:10">
      <c r="B6" s="37"/>
      <c r="C6" s="68"/>
      <c r="D6" s="68"/>
      <c r="E6" s="68"/>
      <c r="F6" s="68"/>
      <c r="G6" s="68"/>
      <c r="H6" s="69"/>
    </row>
    <row r="7" spans="2:10" s="8" customFormat="1">
      <c r="B7" s="33" t="s">
        <v>58</v>
      </c>
      <c r="C7" s="33">
        <v>0</v>
      </c>
      <c r="D7" s="33">
        <v>1</v>
      </c>
      <c r="E7" s="33">
        <v>2</v>
      </c>
      <c r="F7" s="33">
        <v>3</v>
      </c>
      <c r="G7" s="33">
        <v>4</v>
      </c>
      <c r="H7" s="99">
        <v>5</v>
      </c>
      <c r="I7" s="80"/>
    </row>
    <row r="8" spans="2:10">
      <c r="B8" s="57" t="s">
        <v>114</v>
      </c>
      <c r="C8" s="38" t="s">
        <v>38</v>
      </c>
      <c r="D8" s="100">
        <v>1.6E-2</v>
      </c>
      <c r="E8" s="100">
        <v>0.02</v>
      </c>
      <c r="F8" s="100">
        <v>2.5000000000000001E-2</v>
      </c>
      <c r="G8" s="100">
        <v>2.8000000000000001E-2</v>
      </c>
      <c r="H8" s="101">
        <v>3.1E-2</v>
      </c>
      <c r="I8" s="80"/>
    </row>
    <row r="9" spans="2:10">
      <c r="B9" s="70" t="s">
        <v>61</v>
      </c>
      <c r="C9" s="102" t="s">
        <v>38</v>
      </c>
      <c r="D9" s="103">
        <f>+D8</f>
        <v>1.6E-2</v>
      </c>
      <c r="E9" s="104">
        <v>0.03</v>
      </c>
      <c r="F9" s="105">
        <v>0.02</v>
      </c>
      <c r="G9" s="105">
        <v>2.1999999999999999E-2</v>
      </c>
      <c r="H9" s="106">
        <v>2.5000000000000001E-2</v>
      </c>
      <c r="I9" s="80"/>
    </row>
    <row r="12" spans="2:10">
      <c r="B12" s="33" t="s">
        <v>79</v>
      </c>
      <c r="C12" s="34"/>
      <c r="D12" s="34"/>
      <c r="E12" s="34"/>
      <c r="F12" s="34"/>
      <c r="G12" s="34"/>
      <c r="H12" s="35"/>
      <c r="I12" s="80"/>
      <c r="J12" s="80"/>
    </row>
    <row r="13" spans="2:10">
      <c r="B13" s="37"/>
      <c r="C13" s="68"/>
      <c r="D13" s="68"/>
      <c r="E13" s="68"/>
      <c r="F13" s="68"/>
      <c r="G13" s="68"/>
      <c r="H13" s="69"/>
      <c r="I13" s="80"/>
    </row>
    <row r="14" spans="2:10">
      <c r="B14" s="37" t="s">
        <v>80</v>
      </c>
      <c r="C14" s="107">
        <v>5.0000000000000001E-3</v>
      </c>
      <c r="D14" s="68"/>
      <c r="E14" s="68"/>
      <c r="F14" s="68"/>
      <c r="G14" s="68"/>
      <c r="H14" s="69"/>
      <c r="I14" s="80"/>
    </row>
    <row r="15" spans="2:10">
      <c r="B15" s="37"/>
      <c r="C15" s="68"/>
      <c r="D15" s="68"/>
      <c r="E15" s="68"/>
      <c r="F15" s="68"/>
      <c r="G15" s="68"/>
      <c r="H15" s="69"/>
    </row>
    <row r="16" spans="2:10" s="8" customFormat="1">
      <c r="B16" s="33" t="s">
        <v>58</v>
      </c>
      <c r="C16" s="33"/>
      <c r="D16" s="33">
        <v>0</v>
      </c>
      <c r="E16" s="33">
        <v>1</v>
      </c>
      <c r="F16" s="33">
        <v>2</v>
      </c>
      <c r="G16" s="33">
        <v>3</v>
      </c>
      <c r="H16" s="99">
        <v>4</v>
      </c>
      <c r="I16" s="80"/>
    </row>
    <row r="17" spans="2:9">
      <c r="B17" s="70"/>
      <c r="C17" s="71"/>
      <c r="D17" s="102"/>
      <c r="E17" s="103">
        <f>D8+$C$14</f>
        <v>2.1000000000000001E-2</v>
      </c>
      <c r="F17" s="103">
        <f t="shared" ref="F17:H17" si="0">E8+$C$14</f>
        <v>2.5000000000000001E-2</v>
      </c>
      <c r="G17" s="103">
        <f t="shared" si="0"/>
        <v>3.0000000000000002E-2</v>
      </c>
      <c r="H17" s="108">
        <f t="shared" si="0"/>
        <v>3.3000000000000002E-2</v>
      </c>
      <c r="I17" s="80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129"/>
  <sheetViews>
    <sheetView showGridLines="0" topLeftCell="A72" zoomScale="120" zoomScaleNormal="120" workbookViewId="0">
      <selection activeCell="E49" sqref="E49"/>
    </sheetView>
  </sheetViews>
  <sheetFormatPr defaultColWidth="11.5" defaultRowHeight="14.25"/>
  <cols>
    <col min="1" max="1" width="4.1875" style="5" customWidth="1"/>
    <col min="2" max="2" width="27.8125" style="5" customWidth="1"/>
    <col min="3" max="3" width="12.3125" style="5" customWidth="1"/>
    <col min="4" max="4" width="12.6875" style="5" customWidth="1"/>
    <col min="5" max="6" width="12" style="5" customWidth="1"/>
    <col min="7" max="7" width="11.5" style="5"/>
    <col min="8" max="8" width="14.1875" style="5" customWidth="1"/>
    <col min="9" max="9" width="10.5" style="7" customWidth="1"/>
    <col min="10" max="16384" width="11.5" style="83"/>
  </cols>
  <sheetData>
    <row r="2" spans="1:9">
      <c r="B2" s="33" t="s">
        <v>78</v>
      </c>
      <c r="C2" s="34"/>
      <c r="D2" s="34"/>
      <c r="E2" s="34"/>
      <c r="F2" s="34"/>
      <c r="G2" s="34"/>
      <c r="H2" s="35"/>
    </row>
    <row r="3" spans="1:9">
      <c r="B3" s="37"/>
      <c r="C3" s="68"/>
      <c r="D3" s="68"/>
      <c r="E3" s="68"/>
      <c r="F3" s="68"/>
      <c r="G3" s="68"/>
      <c r="H3" s="69"/>
    </row>
    <row r="4" spans="1:9">
      <c r="B4" s="37" t="s">
        <v>66</v>
      </c>
      <c r="C4" s="23">
        <f>'Annahmen Zinsswaps'!C5</f>
        <v>1000000</v>
      </c>
      <c r="D4" s="68"/>
      <c r="E4" s="68"/>
      <c r="F4" s="68"/>
      <c r="G4" s="68"/>
      <c r="H4" s="69"/>
    </row>
    <row r="5" spans="1:9">
      <c r="B5" s="70"/>
      <c r="C5" s="71"/>
      <c r="D5" s="71"/>
      <c r="E5" s="71"/>
      <c r="F5" s="71"/>
      <c r="G5" s="71"/>
      <c r="H5" s="72"/>
    </row>
    <row r="6" spans="1:9" s="84" customFormat="1">
      <c r="A6" s="8"/>
      <c r="B6" s="33" t="s">
        <v>75</v>
      </c>
      <c r="C6" s="34"/>
      <c r="D6" s="34"/>
      <c r="E6" s="34"/>
      <c r="F6" s="34"/>
      <c r="G6" s="34"/>
      <c r="H6" s="35"/>
      <c r="I6" s="31"/>
    </row>
    <row r="7" spans="1:9" s="84" customFormat="1">
      <c r="A7" s="8"/>
      <c r="B7" s="36" t="s">
        <v>58</v>
      </c>
      <c r="C7" s="66">
        <v>0</v>
      </c>
      <c r="D7" s="66">
        <v>1</v>
      </c>
      <c r="E7" s="66">
        <v>2</v>
      </c>
      <c r="F7" s="66">
        <v>3</v>
      </c>
      <c r="G7" s="66">
        <v>4</v>
      </c>
      <c r="H7" s="67">
        <v>5</v>
      </c>
      <c r="I7" s="31"/>
    </row>
    <row r="8" spans="1:9">
      <c r="B8" s="57" t="s">
        <v>113</v>
      </c>
      <c r="C8" s="58" t="s">
        <v>38</v>
      </c>
      <c r="D8" s="59">
        <f>'Annahmen Zinsswaps'!D8</f>
        <v>1.6E-2</v>
      </c>
      <c r="E8" s="59">
        <f>'Annahmen Zinsswaps'!E8</f>
        <v>0.02</v>
      </c>
      <c r="F8" s="59">
        <f>'Annahmen Zinsswaps'!F8</f>
        <v>2.5000000000000001E-2</v>
      </c>
      <c r="G8" s="59">
        <f>'Annahmen Zinsswaps'!G8</f>
        <v>2.8000000000000001E-2</v>
      </c>
      <c r="H8" s="60">
        <f>'Annahmen Zinsswaps'!H8</f>
        <v>3.1E-2</v>
      </c>
      <c r="I8" s="26"/>
    </row>
    <row r="9" spans="1:9">
      <c r="B9" s="37" t="s">
        <v>59</v>
      </c>
      <c r="C9" s="41">
        <f>(1-1/(1+H8)^H7)/(1/(1+D8)^D7+1/(1+E8)^E7+1/(1+F8)^F7+1/(1+G8)^G7+1/(1+H8)^H7)</f>
        <v>3.0589949110687336E-2</v>
      </c>
      <c r="D9" s="22"/>
      <c r="E9" s="22"/>
      <c r="F9" s="22"/>
      <c r="G9" s="22"/>
      <c r="H9" s="73"/>
      <c r="I9" s="26"/>
    </row>
    <row r="10" spans="1:9">
      <c r="B10" s="37" t="s">
        <v>83</v>
      </c>
      <c r="C10" s="23">
        <f>C4</f>
        <v>1000000</v>
      </c>
      <c r="D10" s="21"/>
      <c r="E10" s="21"/>
      <c r="F10" s="21"/>
      <c r="G10" s="21"/>
      <c r="H10" s="42">
        <f>-C4</f>
        <v>-1000000</v>
      </c>
      <c r="I10" s="24"/>
    </row>
    <row r="11" spans="1:9">
      <c r="B11" s="37" t="s">
        <v>67</v>
      </c>
      <c r="C11" s="21"/>
      <c r="D11" s="23">
        <f>-$C$9*$C$10</f>
        <v>-30589.949110687336</v>
      </c>
      <c r="E11" s="23">
        <f t="shared" ref="E11:H11" si="0">-$C$9*$C$10</f>
        <v>-30589.949110687336</v>
      </c>
      <c r="F11" s="23">
        <f t="shared" si="0"/>
        <v>-30589.949110687336</v>
      </c>
      <c r="G11" s="23">
        <f t="shared" si="0"/>
        <v>-30589.949110687336</v>
      </c>
      <c r="H11" s="42">
        <f t="shared" si="0"/>
        <v>-30589.949110687336</v>
      </c>
      <c r="I11" s="24"/>
    </row>
    <row r="12" spans="1:9">
      <c r="B12" s="37" t="s">
        <v>74</v>
      </c>
      <c r="C12" s="23">
        <f t="shared" ref="C12:H12" si="1">C10+C11</f>
        <v>1000000</v>
      </c>
      <c r="D12" s="23">
        <f t="shared" si="1"/>
        <v>-30589.949110687336</v>
      </c>
      <c r="E12" s="23">
        <f t="shared" si="1"/>
        <v>-30589.949110687336</v>
      </c>
      <c r="F12" s="23">
        <f t="shared" si="1"/>
        <v>-30589.949110687336</v>
      </c>
      <c r="G12" s="23">
        <f t="shared" si="1"/>
        <v>-30589.949110687336</v>
      </c>
      <c r="H12" s="42">
        <f t="shared" si="1"/>
        <v>-1030589.9491106874</v>
      </c>
      <c r="I12" s="24"/>
    </row>
    <row r="13" spans="1:9">
      <c r="B13" s="37" t="s">
        <v>68</v>
      </c>
      <c r="C13" s="38"/>
      <c r="D13" s="43">
        <f>1/(1+D8)^D7</f>
        <v>0.98425196850393704</v>
      </c>
      <c r="E13" s="43">
        <f>1/(1+E8)^E7</f>
        <v>0.96116878123798544</v>
      </c>
      <c r="F13" s="43">
        <f>1/(1+F8)^F7</f>
        <v>0.92859941091974885</v>
      </c>
      <c r="G13" s="43">
        <f>1/(1+G8)^G7</f>
        <v>0.895421548099118</v>
      </c>
      <c r="H13" s="44">
        <f>1/(1+H8)^H7</f>
        <v>0.85843353189764848</v>
      </c>
      <c r="I13" s="26"/>
    </row>
    <row r="14" spans="1:9">
      <c r="B14" s="61" t="s">
        <v>60</v>
      </c>
      <c r="C14" s="62">
        <f>SUM(D14:H14)</f>
        <v>-1000000.0000000001</v>
      </c>
      <c r="D14" s="62">
        <f>D12*D13</f>
        <v>-30108.217628629267</v>
      </c>
      <c r="E14" s="62">
        <f>E12*E13</f>
        <v>-29402.104104851343</v>
      </c>
      <c r="F14" s="62">
        <f>F12*F13</f>
        <v>-28405.808724249357</v>
      </c>
      <c r="G14" s="62">
        <f>G12*G13</f>
        <v>-27390.89958896489</v>
      </c>
      <c r="H14" s="63">
        <f>H12*H13</f>
        <v>-884692.9699533052</v>
      </c>
      <c r="I14" s="24"/>
    </row>
    <row r="15" spans="1:9">
      <c r="A15" s="7"/>
      <c r="B15" s="46"/>
      <c r="C15" s="47"/>
      <c r="D15" s="24"/>
      <c r="E15" s="24"/>
      <c r="F15" s="24"/>
      <c r="G15" s="24"/>
      <c r="H15" s="48"/>
      <c r="I15" s="24"/>
    </row>
    <row r="16" spans="1:9" s="84" customFormat="1">
      <c r="A16" s="8"/>
      <c r="B16" s="33" t="s">
        <v>88</v>
      </c>
      <c r="C16" s="34"/>
      <c r="D16" s="34"/>
      <c r="E16" s="34"/>
      <c r="F16" s="34"/>
      <c r="G16" s="34"/>
      <c r="H16" s="35"/>
      <c r="I16" s="31"/>
    </row>
    <row r="17" spans="1:9" s="84" customFormat="1">
      <c r="A17" s="8"/>
      <c r="B17" s="36" t="s">
        <v>58</v>
      </c>
      <c r="C17" s="66">
        <v>0</v>
      </c>
      <c r="D17" s="66">
        <v>1</v>
      </c>
      <c r="E17" s="66">
        <v>2</v>
      </c>
      <c r="F17" s="66">
        <v>3</v>
      </c>
      <c r="G17" s="66">
        <v>4</v>
      </c>
      <c r="H17" s="67">
        <v>5</v>
      </c>
      <c r="I17" s="31"/>
    </row>
    <row r="18" spans="1:9">
      <c r="B18" s="37" t="s">
        <v>61</v>
      </c>
      <c r="C18" s="49" t="s">
        <v>38</v>
      </c>
      <c r="D18" s="39">
        <f>'Annahmen Zinsswaps'!D9</f>
        <v>1.6E-2</v>
      </c>
      <c r="E18" s="39">
        <f>'Annahmen Zinsswaps'!E9</f>
        <v>0.03</v>
      </c>
      <c r="F18" s="39">
        <f>'Annahmen Zinsswaps'!F9</f>
        <v>0.02</v>
      </c>
      <c r="G18" s="39">
        <f>'Annahmen Zinsswaps'!G9</f>
        <v>2.1999999999999999E-2</v>
      </c>
      <c r="H18" s="40">
        <f>'Annahmen Zinsswaps'!H9</f>
        <v>2.5000000000000001E-2</v>
      </c>
      <c r="I18" s="26"/>
    </row>
    <row r="19" spans="1:9">
      <c r="B19" s="37" t="s">
        <v>62</v>
      </c>
      <c r="C19" s="23">
        <f>-$C$4</f>
        <v>-1000000</v>
      </c>
      <c r="D19" s="23">
        <f t="shared" ref="D19:G19" si="2">-$C$4</f>
        <v>-1000000</v>
      </c>
      <c r="E19" s="23">
        <f t="shared" si="2"/>
        <v>-1000000</v>
      </c>
      <c r="F19" s="23">
        <f t="shared" si="2"/>
        <v>-1000000</v>
      </c>
      <c r="G19" s="23">
        <f t="shared" si="2"/>
        <v>-1000000</v>
      </c>
      <c r="H19" s="50"/>
      <c r="I19" s="30"/>
    </row>
    <row r="20" spans="1:9">
      <c r="B20" s="37" t="s">
        <v>84</v>
      </c>
      <c r="C20" s="21"/>
      <c r="D20" s="23">
        <f>-$C$19</f>
        <v>1000000</v>
      </c>
      <c r="E20" s="23">
        <f t="shared" ref="E20:H20" si="3">-$C$19</f>
        <v>1000000</v>
      </c>
      <c r="F20" s="23">
        <f t="shared" si="3"/>
        <v>1000000</v>
      </c>
      <c r="G20" s="23">
        <f t="shared" si="3"/>
        <v>1000000</v>
      </c>
      <c r="H20" s="42">
        <f t="shared" si="3"/>
        <v>1000000</v>
      </c>
      <c r="I20" s="30"/>
    </row>
    <row r="21" spans="1:9">
      <c r="B21" s="37" t="s">
        <v>67</v>
      </c>
      <c r="C21" s="21"/>
      <c r="D21" s="23">
        <f>-C19*D18</f>
        <v>16000</v>
      </c>
      <c r="E21" s="23">
        <f>-D19*E18</f>
        <v>30000</v>
      </c>
      <c r="F21" s="23">
        <f>-E19*F18</f>
        <v>20000</v>
      </c>
      <c r="G21" s="23">
        <f>-F19*G18</f>
        <v>22000</v>
      </c>
      <c r="H21" s="42">
        <f>-G19*H18</f>
        <v>25000</v>
      </c>
      <c r="I21" s="24"/>
    </row>
    <row r="22" spans="1:9">
      <c r="B22" s="37" t="s">
        <v>76</v>
      </c>
      <c r="C22" s="38"/>
      <c r="D22" s="23">
        <f>D21+D20</f>
        <v>1016000</v>
      </c>
      <c r="E22" s="23">
        <f t="shared" ref="E22:H22" si="4">E21+E20</f>
        <v>1030000</v>
      </c>
      <c r="F22" s="23">
        <f t="shared" si="4"/>
        <v>1020000</v>
      </c>
      <c r="G22" s="23">
        <f t="shared" si="4"/>
        <v>1022000</v>
      </c>
      <c r="H22" s="42">
        <f t="shared" si="4"/>
        <v>1025000</v>
      </c>
      <c r="I22" s="24"/>
    </row>
    <row r="23" spans="1:9">
      <c r="B23" s="61" t="s">
        <v>63</v>
      </c>
      <c r="C23" s="62">
        <f>+H23</f>
        <v>1000000.0000000001</v>
      </c>
      <c r="D23" s="62">
        <f>+D22/(1+D18)</f>
        <v>1000000</v>
      </c>
      <c r="E23" s="62">
        <f>+E22/(1+E18)</f>
        <v>1000000</v>
      </c>
      <c r="F23" s="62">
        <f>+F22/(1+F18)</f>
        <v>1000000</v>
      </c>
      <c r="G23" s="62">
        <f>+G22/(1+G18)</f>
        <v>1000000</v>
      </c>
      <c r="H23" s="63">
        <f>+H22/(1+H18)</f>
        <v>1000000.0000000001</v>
      </c>
      <c r="I23" s="24"/>
    </row>
    <row r="24" spans="1:9">
      <c r="A24" s="7"/>
      <c r="B24" s="46"/>
      <c r="C24" s="24"/>
      <c r="D24" s="24"/>
      <c r="E24" s="24"/>
      <c r="F24" s="24"/>
      <c r="G24" s="24"/>
      <c r="H24" s="48"/>
      <c r="I24" s="24"/>
    </row>
    <row r="25" spans="1:9">
      <c r="B25" s="45" t="s">
        <v>64</v>
      </c>
      <c r="C25" s="16">
        <f>+C14+C23</f>
        <v>0</v>
      </c>
      <c r="D25" s="51"/>
      <c r="E25" s="51"/>
      <c r="F25" s="51"/>
      <c r="G25" s="51"/>
      <c r="H25" s="52"/>
      <c r="I25" s="25"/>
    </row>
    <row r="26" spans="1:9">
      <c r="A26" s="7"/>
      <c r="B26" s="46"/>
      <c r="C26" s="24"/>
      <c r="D26" s="26"/>
      <c r="E26" s="26"/>
      <c r="F26" s="26"/>
      <c r="G26" s="26"/>
      <c r="H26" s="53"/>
      <c r="I26" s="25"/>
    </row>
    <row r="27" spans="1:9">
      <c r="B27" s="45" t="s">
        <v>65</v>
      </c>
      <c r="C27" s="64">
        <f>SUM(D27:H27)</f>
        <v>0</v>
      </c>
      <c r="D27" s="65">
        <f>D14+D19+D23</f>
        <v>-30108.217628629296</v>
      </c>
      <c r="E27" s="65">
        <f>E14+E19+E23</f>
        <v>-29402.104104851373</v>
      </c>
      <c r="F27" s="65">
        <f>F14+F19+F23</f>
        <v>-28405.808724249364</v>
      </c>
      <c r="G27" s="65">
        <f>G14+G19+G23</f>
        <v>-27390.89958896488</v>
      </c>
      <c r="H27" s="20">
        <f>H14+H19+H23</f>
        <v>115307.03004669491</v>
      </c>
      <c r="I27" s="25"/>
    </row>
    <row r="28" spans="1:9">
      <c r="A28" s="7"/>
      <c r="B28" s="46"/>
      <c r="C28" s="24"/>
      <c r="D28" s="24"/>
      <c r="E28" s="24"/>
      <c r="F28" s="24"/>
      <c r="G28" s="24"/>
      <c r="H28" s="48"/>
      <c r="I28" s="24"/>
    </row>
    <row r="29" spans="1:9">
      <c r="A29" s="7"/>
      <c r="B29" s="54" t="s">
        <v>77</v>
      </c>
      <c r="C29" s="55" t="str">
        <f>IF(C25=C27,"OK","ABWEICHUNG")</f>
        <v>OK</v>
      </c>
      <c r="D29" s="55"/>
      <c r="E29" s="55"/>
      <c r="F29" s="55"/>
      <c r="G29" s="55"/>
      <c r="H29" s="56"/>
      <c r="I29" s="24"/>
    </row>
    <row r="30" spans="1:9">
      <c r="A30" s="7"/>
      <c r="B30" s="231"/>
      <c r="C30" s="77"/>
      <c r="D30" s="77"/>
      <c r="E30" s="77"/>
      <c r="F30" s="77"/>
      <c r="G30" s="77"/>
      <c r="H30" s="77"/>
      <c r="I30" s="24"/>
    </row>
    <row r="31" spans="1:9">
      <c r="A31" s="7"/>
      <c r="B31" s="232"/>
      <c r="C31" s="55"/>
      <c r="D31" s="55"/>
      <c r="E31" s="55"/>
      <c r="F31" s="55"/>
      <c r="G31" s="55"/>
      <c r="H31" s="55"/>
      <c r="I31" s="24"/>
    </row>
    <row r="32" spans="1:9">
      <c r="B32" s="33" t="s">
        <v>78</v>
      </c>
      <c r="C32" s="34"/>
      <c r="D32" s="34"/>
      <c r="E32" s="34"/>
      <c r="F32" s="34"/>
      <c r="G32" s="34"/>
      <c r="H32" s="35"/>
    </row>
    <row r="33" spans="1:9">
      <c r="B33" s="37"/>
      <c r="C33" s="68"/>
      <c r="D33" s="68"/>
      <c r="E33" s="68"/>
      <c r="F33" s="68"/>
      <c r="G33" s="68"/>
      <c r="H33" s="69"/>
    </row>
    <row r="34" spans="1:9">
      <c r="B34" s="37" t="s">
        <v>66</v>
      </c>
      <c r="C34" s="23">
        <f>'Annahmen Zinsswaps'!C5</f>
        <v>1000000</v>
      </c>
      <c r="D34" s="68"/>
      <c r="E34" s="68"/>
      <c r="F34" s="68"/>
      <c r="G34" s="68"/>
      <c r="H34" s="69"/>
    </row>
    <row r="35" spans="1:9">
      <c r="B35" s="70"/>
      <c r="C35" s="71"/>
      <c r="D35" s="71"/>
      <c r="E35" s="71"/>
      <c r="F35" s="71"/>
      <c r="G35" s="71"/>
      <c r="H35" s="72"/>
    </row>
    <row r="36" spans="1:9" s="84" customFormat="1">
      <c r="A36" s="8"/>
      <c r="B36" s="33" t="s">
        <v>75</v>
      </c>
      <c r="C36" s="34"/>
      <c r="D36" s="34"/>
      <c r="E36" s="34"/>
      <c r="F36" s="34"/>
      <c r="G36" s="34"/>
      <c r="H36" s="35"/>
      <c r="I36" s="31"/>
    </row>
    <row r="37" spans="1:9" s="84" customFormat="1">
      <c r="A37" s="8"/>
      <c r="B37" s="36" t="s">
        <v>58</v>
      </c>
      <c r="C37" s="66">
        <v>0</v>
      </c>
      <c r="D37" s="66">
        <v>1</v>
      </c>
      <c r="E37" s="66">
        <v>2</v>
      </c>
      <c r="F37" s="66">
        <v>3</v>
      </c>
      <c r="G37" s="66">
        <v>4</v>
      </c>
      <c r="H37" s="67">
        <v>5</v>
      </c>
      <c r="I37" s="31"/>
    </row>
    <row r="38" spans="1:9">
      <c r="B38" s="57" t="s">
        <v>114</v>
      </c>
      <c r="C38" s="58" t="s">
        <v>38</v>
      </c>
      <c r="D38" s="59">
        <f>'Annahmen Zinsswaps'!D8</f>
        <v>1.6E-2</v>
      </c>
      <c r="E38" s="59">
        <f>'Annahmen Zinsswaps'!E8</f>
        <v>0.02</v>
      </c>
      <c r="F38" s="59">
        <f>'Annahmen Zinsswaps'!F8</f>
        <v>2.5000000000000001E-2</v>
      </c>
      <c r="G38" s="59">
        <f>'Annahmen Zinsswaps'!G8</f>
        <v>2.8000000000000001E-2</v>
      </c>
      <c r="H38" s="60">
        <f>'Annahmen Zinsswaps'!H8</f>
        <v>3.1E-2</v>
      </c>
      <c r="I38" s="26"/>
    </row>
    <row r="39" spans="1:9">
      <c r="B39" s="37" t="s">
        <v>59</v>
      </c>
      <c r="C39" s="41">
        <f>(1-1/(1+H38)^H37)/(1/(1+D38)^D37+1/(1+E38)^E37+1/(1+F38)^F37+1/(1+G38)^G37+1/(1+H38)^H37)</f>
        <v>3.0589949110687336E-2</v>
      </c>
      <c r="D39" s="22"/>
      <c r="E39" s="22"/>
      <c r="F39" s="22"/>
      <c r="G39" s="22"/>
      <c r="H39" s="73"/>
      <c r="I39" s="26"/>
    </row>
    <row r="40" spans="1:9">
      <c r="B40" s="37" t="s">
        <v>83</v>
      </c>
      <c r="C40" s="23">
        <f>C34</f>
        <v>1000000</v>
      </c>
      <c r="D40" s="21"/>
      <c r="E40" s="21"/>
      <c r="F40" s="21"/>
      <c r="G40" s="21"/>
      <c r="H40" s="42">
        <f>-C34</f>
        <v>-1000000</v>
      </c>
      <c r="I40" s="24"/>
    </row>
    <row r="41" spans="1:9">
      <c r="B41" s="37" t="s">
        <v>67</v>
      </c>
      <c r="C41" s="21"/>
      <c r="D41" s="23">
        <f>-$C$9*$C$40</f>
        <v>-30589.949110687336</v>
      </c>
      <c r="E41" s="23">
        <f t="shared" ref="E41:H41" si="5">-$C$9*$C$40</f>
        <v>-30589.949110687336</v>
      </c>
      <c r="F41" s="23">
        <f t="shared" si="5"/>
        <v>-30589.949110687336</v>
      </c>
      <c r="G41" s="23">
        <f t="shared" si="5"/>
        <v>-30589.949110687336</v>
      </c>
      <c r="H41" s="42">
        <f t="shared" si="5"/>
        <v>-30589.949110687336</v>
      </c>
      <c r="I41" s="24"/>
    </row>
    <row r="42" spans="1:9">
      <c r="B42" s="37" t="s">
        <v>74</v>
      </c>
      <c r="C42" s="23">
        <f t="shared" ref="C42:H42" si="6">C40+C41</f>
        <v>1000000</v>
      </c>
      <c r="D42" s="23">
        <f t="shared" si="6"/>
        <v>-30589.949110687336</v>
      </c>
      <c r="E42" s="23">
        <f t="shared" si="6"/>
        <v>-30589.949110687336</v>
      </c>
      <c r="F42" s="23">
        <f t="shared" si="6"/>
        <v>-30589.949110687336</v>
      </c>
      <c r="G42" s="23">
        <f t="shared" si="6"/>
        <v>-30589.949110687336</v>
      </c>
      <c r="H42" s="42">
        <f t="shared" si="6"/>
        <v>-1030589.9491106874</v>
      </c>
      <c r="I42" s="24"/>
    </row>
    <row r="43" spans="1:9">
      <c r="B43" s="37" t="s">
        <v>68</v>
      </c>
      <c r="C43" s="38"/>
      <c r="D43" s="43">
        <f>1/(1+D38)^D37</f>
        <v>0.98425196850393704</v>
      </c>
      <c r="E43" s="43">
        <f>1/(1+E38)^E37</f>
        <v>0.96116878123798544</v>
      </c>
      <c r="F43" s="43">
        <f>1/(1+F38)^F37</f>
        <v>0.92859941091974885</v>
      </c>
      <c r="G43" s="43">
        <f>1/(1+G38)^G37</f>
        <v>0.895421548099118</v>
      </c>
      <c r="H43" s="44">
        <f>1/(1+H38)^H37</f>
        <v>0.85843353189764848</v>
      </c>
      <c r="I43" s="26"/>
    </row>
    <row r="44" spans="1:9">
      <c r="B44" s="61" t="s">
        <v>60</v>
      </c>
      <c r="C44" s="62">
        <f>SUM(D44:H44)</f>
        <v>-1000000.0000000001</v>
      </c>
      <c r="D44" s="62">
        <f>D42*D43</f>
        <v>-30108.217628629267</v>
      </c>
      <c r="E44" s="62">
        <f>E42*E43</f>
        <v>-29402.104104851343</v>
      </c>
      <c r="F44" s="62">
        <f>F42*F43</f>
        <v>-28405.808724249357</v>
      </c>
      <c r="G44" s="62">
        <f>G42*G43</f>
        <v>-27390.89958896489</v>
      </c>
      <c r="H44" s="63">
        <f>H42*H43</f>
        <v>-884692.9699533052</v>
      </c>
      <c r="I44" s="24"/>
    </row>
    <row r="45" spans="1:9">
      <c r="A45" s="7"/>
      <c r="B45" s="46"/>
      <c r="C45" s="47"/>
      <c r="D45" s="24"/>
      <c r="E45" s="24"/>
      <c r="F45" s="24"/>
      <c r="G45" s="24"/>
      <c r="H45" s="48"/>
      <c r="I45" s="24"/>
    </row>
    <row r="46" spans="1:9" s="84" customFormat="1">
      <c r="A46" s="8"/>
      <c r="B46" s="33" t="s">
        <v>81</v>
      </c>
      <c r="C46" s="34"/>
      <c r="D46" s="34"/>
      <c r="E46" s="34"/>
      <c r="F46" s="34"/>
      <c r="G46" s="34"/>
      <c r="H46" s="35"/>
      <c r="I46" s="31"/>
    </row>
    <row r="47" spans="1:9" s="84" customFormat="1">
      <c r="A47" s="8"/>
      <c r="B47" s="36" t="s">
        <v>58</v>
      </c>
      <c r="C47" s="66">
        <v>0</v>
      </c>
      <c r="D47" s="66">
        <v>1</v>
      </c>
      <c r="E47" s="66">
        <v>2</v>
      </c>
      <c r="F47" s="66">
        <v>3</v>
      </c>
      <c r="G47" s="66">
        <v>4</v>
      </c>
      <c r="H47" s="67">
        <v>5</v>
      </c>
      <c r="I47" s="31"/>
    </row>
    <row r="48" spans="1:9" s="84" customFormat="1">
      <c r="A48" s="8"/>
      <c r="B48" s="57" t="s">
        <v>114</v>
      </c>
      <c r="C48" s="58" t="s">
        <v>38</v>
      </c>
      <c r="D48" s="59">
        <f>'Annahmen Zinsswaps'!D8</f>
        <v>1.6E-2</v>
      </c>
      <c r="E48" s="59">
        <f>'Annahmen Zinsswaps'!E8</f>
        <v>0.02</v>
      </c>
      <c r="F48" s="59">
        <f>'Annahmen Zinsswaps'!F8</f>
        <v>2.5000000000000001E-2</v>
      </c>
      <c r="G48" s="59">
        <f>'Annahmen Zinsswaps'!G8</f>
        <v>2.8000000000000001E-2</v>
      </c>
      <c r="H48" s="60">
        <f>'Annahmen Zinsswaps'!H8</f>
        <v>3.1E-2</v>
      </c>
      <c r="I48" s="31"/>
    </row>
    <row r="49" spans="1:9">
      <c r="B49" s="37" t="s">
        <v>115</v>
      </c>
      <c r="C49" s="38" t="s">
        <v>38</v>
      </c>
      <c r="D49" s="81">
        <f>E105</f>
        <v>1.6E-2</v>
      </c>
      <c r="E49" s="39">
        <f>((1+E48)^E47/(1+D48)^D47)^(1/(E47-D47))-1</f>
        <v>2.4015748031495976E-2</v>
      </c>
      <c r="F49" s="39">
        <f t="shared" ref="F49:H49" si="7">((1+F48)^F47/(1+E48)^E47)^(1/(F47-E47))-1</f>
        <v>3.5073649557862296E-2</v>
      </c>
      <c r="G49" s="39">
        <f t="shared" si="7"/>
        <v>3.7052785798000754E-2</v>
      </c>
      <c r="H49" s="40">
        <f t="shared" si="7"/>
        <v>4.3087804503284088E-2</v>
      </c>
      <c r="I49" s="26"/>
    </row>
    <row r="50" spans="1:9">
      <c r="B50" s="37" t="s">
        <v>85</v>
      </c>
      <c r="C50" s="23">
        <f>-$C$34</f>
        <v>-1000000</v>
      </c>
      <c r="D50" s="23">
        <f t="shared" ref="D50:G50" si="8">-$C$34</f>
        <v>-1000000</v>
      </c>
      <c r="E50" s="23">
        <f t="shared" si="8"/>
        <v>-1000000</v>
      </c>
      <c r="F50" s="23">
        <f t="shared" si="8"/>
        <v>-1000000</v>
      </c>
      <c r="G50" s="23">
        <f t="shared" si="8"/>
        <v>-1000000</v>
      </c>
      <c r="H50" s="50"/>
      <c r="I50" s="30"/>
    </row>
    <row r="51" spans="1:9">
      <c r="B51" s="37" t="s">
        <v>86</v>
      </c>
      <c r="C51" s="21"/>
      <c r="D51" s="23">
        <f>-C50</f>
        <v>1000000</v>
      </c>
      <c r="E51" s="23">
        <f t="shared" ref="E51:H51" si="9">-D50</f>
        <v>1000000</v>
      </c>
      <c r="F51" s="23">
        <f t="shared" si="9"/>
        <v>1000000</v>
      </c>
      <c r="G51" s="23">
        <f t="shared" si="9"/>
        <v>1000000</v>
      </c>
      <c r="H51" s="42">
        <f t="shared" si="9"/>
        <v>1000000</v>
      </c>
      <c r="I51" s="30"/>
    </row>
    <row r="52" spans="1:9">
      <c r="B52" s="37" t="s">
        <v>67</v>
      </c>
      <c r="C52" s="21"/>
      <c r="D52" s="23">
        <f>-C50*D49</f>
        <v>16000</v>
      </c>
      <c r="E52" s="23">
        <f t="shared" ref="E52:H52" si="10">-D50*E49</f>
        <v>24015.748031495976</v>
      </c>
      <c r="F52" s="23">
        <f t="shared" si="10"/>
        <v>35073.6495578623</v>
      </c>
      <c r="G52" s="23">
        <f t="shared" si="10"/>
        <v>37052.785798000754</v>
      </c>
      <c r="H52" s="42">
        <f t="shared" si="10"/>
        <v>43087.804503284089</v>
      </c>
      <c r="I52" s="24"/>
    </row>
    <row r="53" spans="1:9">
      <c r="B53" s="37" t="s">
        <v>82</v>
      </c>
      <c r="C53" s="21"/>
      <c r="D53" s="23">
        <f>D51+D52</f>
        <v>1016000</v>
      </c>
      <c r="E53" s="23">
        <f t="shared" ref="E53:H53" si="11">E51+E52</f>
        <v>1024015.748031496</v>
      </c>
      <c r="F53" s="23">
        <f t="shared" si="11"/>
        <v>1035073.6495578623</v>
      </c>
      <c r="G53" s="23">
        <f t="shared" si="11"/>
        <v>1037052.7857980008</v>
      </c>
      <c r="H53" s="42">
        <f t="shared" si="11"/>
        <v>1043087.804503284</v>
      </c>
      <c r="I53" s="24"/>
    </row>
    <row r="54" spans="1:9">
      <c r="B54" s="37" t="s">
        <v>68</v>
      </c>
      <c r="C54" s="38"/>
      <c r="D54" s="43">
        <f>1/(1+D49)</f>
        <v>0.98425196850393704</v>
      </c>
      <c r="E54" s="43">
        <f>1/(1+E49)</f>
        <v>0.97654748173779327</v>
      </c>
      <c r="F54" s="43">
        <f t="shared" ref="F54:H54" si="12">1/(1+F49)</f>
        <v>0.96611482712090657</v>
      </c>
      <c r="G54" s="43">
        <f t="shared" si="12"/>
        <v>0.96427107057092654</v>
      </c>
      <c r="H54" s="44">
        <f t="shared" si="12"/>
        <v>0.95869206377712146</v>
      </c>
      <c r="I54" s="26"/>
    </row>
    <row r="55" spans="1:9">
      <c r="B55" s="61" t="s">
        <v>89</v>
      </c>
      <c r="C55" s="62">
        <f>H55</f>
        <v>1000000</v>
      </c>
      <c r="D55" s="62">
        <f>D53*D54</f>
        <v>1000000</v>
      </c>
      <c r="E55" s="62">
        <f>E53*E54</f>
        <v>1000000</v>
      </c>
      <c r="F55" s="62">
        <f>F53*F54</f>
        <v>1000000</v>
      </c>
      <c r="G55" s="62">
        <f>G53*G54</f>
        <v>1000000</v>
      </c>
      <c r="H55" s="63">
        <f>H53*H54</f>
        <v>1000000</v>
      </c>
      <c r="I55" s="24"/>
    </row>
    <row r="56" spans="1:9">
      <c r="A56" s="7"/>
      <c r="B56" s="46"/>
      <c r="C56" s="24"/>
      <c r="D56" s="24"/>
      <c r="E56" s="24"/>
      <c r="F56" s="24"/>
      <c r="G56" s="24"/>
      <c r="H56" s="48"/>
      <c r="I56" s="24"/>
    </row>
    <row r="57" spans="1:9">
      <c r="B57" s="45" t="s">
        <v>64</v>
      </c>
      <c r="C57" s="16">
        <f>+C44+C55</f>
        <v>0</v>
      </c>
      <c r="D57" s="51"/>
      <c r="E57" s="51"/>
      <c r="F57" s="51"/>
      <c r="G57" s="51"/>
      <c r="H57" s="52"/>
      <c r="I57" s="25"/>
    </row>
    <row r="58" spans="1:9">
      <c r="A58" s="7"/>
      <c r="B58" s="46"/>
      <c r="C58" s="24"/>
      <c r="D58" s="26"/>
      <c r="E58" s="26"/>
      <c r="F58" s="26"/>
      <c r="G58" s="26"/>
      <c r="H58" s="53"/>
      <c r="I58" s="25"/>
    </row>
    <row r="59" spans="1:9">
      <c r="B59" s="45" t="s">
        <v>87</v>
      </c>
      <c r="C59" s="64">
        <f>SUM(D59:H59)</f>
        <v>-1.1641532182693481E-10</v>
      </c>
      <c r="D59" s="65">
        <f>D44+D50+D55</f>
        <v>-30108.217628629296</v>
      </c>
      <c r="E59" s="65">
        <f t="shared" ref="E59:H59" si="13">E44+E50+E55</f>
        <v>-29402.104104851373</v>
      </c>
      <c r="F59" s="65">
        <f t="shared" si="13"/>
        <v>-28405.808724249364</v>
      </c>
      <c r="G59" s="65">
        <f t="shared" si="13"/>
        <v>-27390.89958896488</v>
      </c>
      <c r="H59" s="20">
        <f t="shared" si="13"/>
        <v>115307.0300466948</v>
      </c>
      <c r="I59" s="25"/>
    </row>
    <row r="60" spans="1:9">
      <c r="A60" s="7"/>
      <c r="B60" s="46"/>
      <c r="C60" s="24"/>
      <c r="D60" s="24"/>
      <c r="E60" s="24"/>
      <c r="F60" s="24"/>
      <c r="G60" s="24"/>
      <c r="H60" s="48"/>
      <c r="I60" s="24"/>
    </row>
    <row r="61" spans="1:9">
      <c r="A61" s="7"/>
      <c r="B61" s="54" t="s">
        <v>77</v>
      </c>
      <c r="C61" s="55" t="str">
        <f>IF(ROUND(C57,2)=ROUND(C59,2),"OK","ABWEICHUNG")</f>
        <v>OK</v>
      </c>
      <c r="D61" s="55"/>
      <c r="E61" s="55"/>
      <c r="F61" s="55"/>
      <c r="G61" s="55"/>
      <c r="H61" s="56"/>
      <c r="I61" s="24"/>
    </row>
    <row r="62" spans="1:9">
      <c r="B62" s="8"/>
      <c r="C62" s="15"/>
      <c r="D62" s="18"/>
      <c r="E62" s="18"/>
      <c r="F62" s="18"/>
      <c r="G62" s="18"/>
      <c r="H62" s="18"/>
      <c r="I62" s="27"/>
    </row>
    <row r="63" spans="1:9">
      <c r="B63" s="8"/>
      <c r="C63" s="15"/>
      <c r="D63" s="18"/>
      <c r="E63" s="18"/>
      <c r="F63" s="18"/>
      <c r="G63" s="18"/>
      <c r="H63" s="18"/>
      <c r="I63" s="27"/>
    </row>
    <row r="64" spans="1:9">
      <c r="B64" s="8"/>
      <c r="C64" s="15"/>
      <c r="D64" s="18"/>
      <c r="E64" s="18"/>
      <c r="F64" s="18"/>
      <c r="G64" s="18"/>
      <c r="H64" s="18"/>
      <c r="I64" s="27"/>
    </row>
    <row r="65" spans="1:9">
      <c r="B65" s="8"/>
      <c r="C65" s="15"/>
      <c r="D65" s="18"/>
      <c r="E65" s="18"/>
      <c r="F65" s="18"/>
      <c r="G65" s="18"/>
      <c r="H65" s="18"/>
      <c r="I65" s="27"/>
    </row>
    <row r="66" spans="1:9">
      <c r="B66" s="33" t="s">
        <v>79</v>
      </c>
      <c r="C66" s="34"/>
      <c r="D66" s="34"/>
      <c r="E66" s="34"/>
      <c r="F66" s="34"/>
      <c r="G66" s="34"/>
      <c r="H66" s="35"/>
      <c r="I66" s="27"/>
    </row>
    <row r="67" spans="1:9">
      <c r="B67" s="37"/>
      <c r="C67" s="68"/>
      <c r="D67" s="68"/>
      <c r="E67" s="68"/>
      <c r="F67" s="68"/>
      <c r="G67" s="68"/>
      <c r="H67" s="69"/>
      <c r="I67" s="25"/>
    </row>
    <row r="68" spans="1:9">
      <c r="B68" s="37" t="s">
        <v>66</v>
      </c>
      <c r="C68" s="23">
        <v>1000000</v>
      </c>
      <c r="D68" s="68"/>
      <c r="E68" s="68"/>
      <c r="F68" s="68"/>
      <c r="G68" s="68"/>
      <c r="H68" s="69"/>
      <c r="I68" s="25"/>
    </row>
    <row r="69" spans="1:9">
      <c r="B69" s="70"/>
      <c r="C69" s="71"/>
      <c r="D69" s="71"/>
      <c r="E69" s="71"/>
      <c r="F69" s="71"/>
      <c r="G69" s="71"/>
      <c r="H69" s="72"/>
      <c r="I69" s="25"/>
    </row>
    <row r="70" spans="1:9" s="84" customFormat="1">
      <c r="A70" s="8"/>
      <c r="B70" s="33" t="s">
        <v>75</v>
      </c>
      <c r="C70" s="34"/>
      <c r="D70" s="34"/>
      <c r="E70" s="34"/>
      <c r="F70" s="34"/>
      <c r="G70" s="34"/>
      <c r="H70" s="35"/>
      <c r="I70" s="31"/>
    </row>
    <row r="71" spans="1:9" s="84" customFormat="1">
      <c r="A71" s="8"/>
      <c r="B71" s="36" t="s">
        <v>58</v>
      </c>
      <c r="C71" s="66"/>
      <c r="D71" s="66">
        <v>0</v>
      </c>
      <c r="E71" s="66">
        <v>1</v>
      </c>
      <c r="F71" s="66">
        <v>2</v>
      </c>
      <c r="G71" s="66">
        <v>3</v>
      </c>
      <c r="H71" s="67">
        <v>4</v>
      </c>
      <c r="I71" s="31"/>
    </row>
    <row r="72" spans="1:9">
      <c r="B72" s="57" t="s">
        <v>113</v>
      </c>
      <c r="D72" s="21"/>
      <c r="E72" s="59">
        <f>'Annahmen Zinsswaps'!E17</f>
        <v>2.1000000000000001E-2</v>
      </c>
      <c r="F72" s="59">
        <f>'Annahmen Zinsswaps'!F17</f>
        <v>2.5000000000000001E-2</v>
      </c>
      <c r="G72" s="59">
        <f>'Annahmen Zinsswaps'!G17</f>
        <v>3.0000000000000002E-2</v>
      </c>
      <c r="H72" s="60">
        <f>'Annahmen Zinsswaps'!H17</f>
        <v>3.3000000000000002E-2</v>
      </c>
      <c r="I72" s="24"/>
    </row>
    <row r="73" spans="1:9">
      <c r="B73" s="37" t="s">
        <v>59</v>
      </c>
      <c r="D73" s="41">
        <f>C9</f>
        <v>3.0589949110687336E-2</v>
      </c>
      <c r="E73" s="9"/>
      <c r="F73" s="9"/>
      <c r="G73" s="9"/>
      <c r="H73" s="75"/>
      <c r="I73" s="24"/>
    </row>
    <row r="74" spans="1:9">
      <c r="B74" s="37" t="s">
        <v>83</v>
      </c>
      <c r="D74" s="23">
        <f>C68</f>
        <v>1000000</v>
      </c>
      <c r="E74" s="21"/>
      <c r="F74" s="21"/>
      <c r="G74" s="21"/>
      <c r="H74" s="42">
        <f>-C68</f>
        <v>-1000000</v>
      </c>
      <c r="I74" s="24"/>
    </row>
    <row r="75" spans="1:9">
      <c r="B75" s="37" t="s">
        <v>67</v>
      </c>
      <c r="D75" s="21"/>
      <c r="E75" s="23">
        <f>-$D$74*$D$73</f>
        <v>-30589.949110687336</v>
      </c>
      <c r="F75" s="23">
        <f t="shared" ref="F75:H75" si="14">-$D$74*$D$73</f>
        <v>-30589.949110687336</v>
      </c>
      <c r="G75" s="23">
        <f t="shared" si="14"/>
        <v>-30589.949110687336</v>
      </c>
      <c r="H75" s="42">
        <f t="shared" si="14"/>
        <v>-30589.949110687336</v>
      </c>
      <c r="I75" s="24"/>
    </row>
    <row r="76" spans="1:9">
      <c r="B76" s="37" t="s">
        <v>74</v>
      </c>
      <c r="D76" s="6">
        <f>D75+D74</f>
        <v>1000000</v>
      </c>
      <c r="E76" s="6">
        <f t="shared" ref="E76:H76" si="15">E75+E74</f>
        <v>-30589.949110687336</v>
      </c>
      <c r="F76" s="6">
        <f t="shared" si="15"/>
        <v>-30589.949110687336</v>
      </c>
      <c r="G76" s="6">
        <f t="shared" si="15"/>
        <v>-30589.949110687336</v>
      </c>
      <c r="H76" s="42">
        <f t="shared" si="15"/>
        <v>-1030589.9491106874</v>
      </c>
      <c r="I76" s="24"/>
    </row>
    <row r="77" spans="1:9">
      <c r="B77" s="37" t="s">
        <v>68</v>
      </c>
      <c r="D77" s="21"/>
      <c r="E77" s="12">
        <f>1/(1+E72)^E71</f>
        <v>0.97943192948090119</v>
      </c>
      <c r="F77" s="12">
        <f>1/(1+F72)^F71</f>
        <v>0.95181439619274244</v>
      </c>
      <c r="G77" s="12">
        <f>1/(1+G72)^G71</f>
        <v>0.91514165935315961</v>
      </c>
      <c r="H77" s="44">
        <f>1/(1+H72)^H71</f>
        <v>0.87821067924435592</v>
      </c>
      <c r="I77" s="29"/>
    </row>
    <row r="78" spans="1:9">
      <c r="B78" s="45" t="s">
        <v>60</v>
      </c>
      <c r="D78" s="6">
        <f>SUM(E78:H78)</f>
        <v>-992145.96284214477</v>
      </c>
      <c r="E78" s="6">
        <f>E76*E77</f>
        <v>-29960.772880203076</v>
      </c>
      <c r="F78" s="6">
        <f>F76*F77</f>
        <v>-29115.953942355583</v>
      </c>
      <c r="G78" s="6">
        <f>G76*G77</f>
        <v>-27994.136788683118</v>
      </c>
      <c r="H78" s="42">
        <f>H76*H77</f>
        <v>-905075.09923090297</v>
      </c>
      <c r="I78" s="24"/>
    </row>
    <row r="79" spans="1:9">
      <c r="A79" s="7"/>
      <c r="B79" s="46"/>
      <c r="C79" s="47"/>
      <c r="D79" s="24"/>
      <c r="E79" s="24"/>
      <c r="F79" s="24"/>
      <c r="G79" s="24"/>
      <c r="H79" s="48"/>
      <c r="I79" s="24"/>
    </row>
    <row r="80" spans="1:9" s="84" customFormat="1">
      <c r="A80" s="8"/>
      <c r="B80" s="33" t="s">
        <v>88</v>
      </c>
      <c r="C80" s="34"/>
      <c r="D80" s="34"/>
      <c r="E80" s="34"/>
      <c r="F80" s="34"/>
      <c r="G80" s="34"/>
      <c r="H80" s="35"/>
      <c r="I80" s="31"/>
    </row>
    <row r="81" spans="1:9" s="84" customFormat="1">
      <c r="A81" s="8"/>
      <c r="B81" s="36" t="s">
        <v>58</v>
      </c>
      <c r="C81" s="66"/>
      <c r="D81" s="66">
        <v>0</v>
      </c>
      <c r="E81" s="66">
        <v>1</v>
      </c>
      <c r="F81" s="66">
        <v>2</v>
      </c>
      <c r="G81" s="66">
        <v>3</v>
      </c>
      <c r="H81" s="67">
        <v>4</v>
      </c>
      <c r="I81" s="31"/>
    </row>
    <row r="82" spans="1:9">
      <c r="B82" s="37" t="s">
        <v>61</v>
      </c>
      <c r="D82" s="14" t="s">
        <v>38</v>
      </c>
      <c r="E82" s="11">
        <f>'Annahmen Zinsswaps'!E17</f>
        <v>2.1000000000000001E-2</v>
      </c>
      <c r="F82" s="11">
        <f>'Annahmen Zinsswaps'!F17</f>
        <v>2.5000000000000001E-2</v>
      </c>
      <c r="G82" s="11">
        <f>'Annahmen Zinsswaps'!G17</f>
        <v>3.0000000000000002E-2</v>
      </c>
      <c r="H82" s="40">
        <f>'Annahmen Zinsswaps'!H17</f>
        <v>3.3000000000000002E-2</v>
      </c>
      <c r="I82" s="26"/>
    </row>
    <row r="83" spans="1:9">
      <c r="B83" s="37" t="s">
        <v>62</v>
      </c>
      <c r="D83" s="6">
        <f>-C68</f>
        <v>-1000000</v>
      </c>
      <c r="E83" s="6">
        <f>$C$19</f>
        <v>-1000000</v>
      </c>
      <c r="F83" s="6">
        <f>$C$19</f>
        <v>-1000000</v>
      </c>
      <c r="G83" s="6">
        <f>$C$19</f>
        <v>-1000000</v>
      </c>
      <c r="H83" s="50"/>
      <c r="I83" s="30"/>
    </row>
    <row r="84" spans="1:9">
      <c r="B84" s="37" t="s">
        <v>84</v>
      </c>
      <c r="D84" s="21"/>
      <c r="E84" s="23">
        <f t="shared" ref="E84:H84" si="16">-$C$19</f>
        <v>1000000</v>
      </c>
      <c r="F84" s="23">
        <f t="shared" si="16"/>
        <v>1000000</v>
      </c>
      <c r="G84" s="23">
        <f t="shared" si="16"/>
        <v>1000000</v>
      </c>
      <c r="H84" s="42">
        <f t="shared" si="16"/>
        <v>1000000</v>
      </c>
      <c r="I84" s="30"/>
    </row>
    <row r="85" spans="1:9">
      <c r="B85" s="37" t="s">
        <v>67</v>
      </c>
      <c r="D85" s="9"/>
      <c r="E85" s="6">
        <f>-D83*E82</f>
        <v>21000</v>
      </c>
      <c r="F85" s="6">
        <f>-E83*F82</f>
        <v>25000</v>
      </c>
      <c r="G85" s="6">
        <f>-F83*G82</f>
        <v>30000.000000000004</v>
      </c>
      <c r="H85" s="42">
        <f>-G83*H82</f>
        <v>33000</v>
      </c>
      <c r="I85" s="24"/>
    </row>
    <row r="86" spans="1:9">
      <c r="B86" s="37" t="s">
        <v>76</v>
      </c>
      <c r="D86" s="10"/>
      <c r="E86" s="6">
        <f>E85+E84</f>
        <v>1021000</v>
      </c>
      <c r="F86" s="6">
        <f t="shared" ref="F86:H86" si="17">F85+F84</f>
        <v>1025000</v>
      </c>
      <c r="G86" s="6">
        <f t="shared" si="17"/>
        <v>1030000</v>
      </c>
      <c r="H86" s="42">
        <f t="shared" si="17"/>
        <v>1033000</v>
      </c>
      <c r="I86" s="24"/>
    </row>
    <row r="87" spans="1:9">
      <c r="B87" s="61" t="s">
        <v>63</v>
      </c>
      <c r="D87" s="6">
        <f>H87</f>
        <v>1000000.0000000001</v>
      </c>
      <c r="E87" s="6">
        <f>+E86/(1+E82)</f>
        <v>1000000.0000000001</v>
      </c>
      <c r="F87" s="6">
        <f>+F86/(1+F82)</f>
        <v>1000000.0000000001</v>
      </c>
      <c r="G87" s="6">
        <f>+G86/(1+G82)</f>
        <v>1000000</v>
      </c>
      <c r="H87" s="42">
        <f>+H86/(1+H82)</f>
        <v>1000000.0000000001</v>
      </c>
      <c r="I87" s="24"/>
    </row>
    <row r="88" spans="1:9">
      <c r="A88" s="7"/>
      <c r="B88" s="76"/>
      <c r="C88" s="77"/>
      <c r="D88" s="77"/>
      <c r="E88" s="77"/>
      <c r="F88" s="77"/>
      <c r="G88" s="77"/>
      <c r="H88" s="78"/>
      <c r="I88" s="24"/>
    </row>
    <row r="89" spans="1:9">
      <c r="B89" s="45" t="s">
        <v>64</v>
      </c>
      <c r="C89" s="68"/>
      <c r="D89" s="16">
        <f>D78+D87</f>
        <v>7854.0371578553459</v>
      </c>
      <c r="E89" s="51"/>
      <c r="F89" s="51"/>
      <c r="G89" s="51"/>
      <c r="H89" s="52"/>
      <c r="I89" s="25"/>
    </row>
    <row r="90" spans="1:9">
      <c r="A90" s="7"/>
      <c r="B90" s="46"/>
      <c r="C90" s="24"/>
      <c r="D90" s="26"/>
      <c r="E90" s="26"/>
      <c r="F90" s="26"/>
      <c r="G90" s="26"/>
      <c r="H90" s="53"/>
      <c r="I90" s="25"/>
    </row>
    <row r="91" spans="1:9">
      <c r="B91" s="45" t="s">
        <v>65</v>
      </c>
      <c r="C91" s="68"/>
      <c r="D91" s="64">
        <f>SUM(E91:H91)</f>
        <v>7854.0371578555787</v>
      </c>
      <c r="E91" s="65">
        <f>E78+E83+E87</f>
        <v>-29960.772880202974</v>
      </c>
      <c r="F91" s="65">
        <f>F78+F83+F87</f>
        <v>-29115.953942355467</v>
      </c>
      <c r="G91" s="65">
        <f>G78+G83+G87</f>
        <v>-27994.136788683129</v>
      </c>
      <c r="H91" s="20">
        <f>H78+H83+H87</f>
        <v>94924.900769097148</v>
      </c>
      <c r="I91" s="25"/>
    </row>
    <row r="92" spans="1:9">
      <c r="A92" s="7"/>
      <c r="B92" s="46"/>
      <c r="C92" s="24"/>
      <c r="D92" s="24"/>
      <c r="E92" s="24"/>
      <c r="F92" s="24"/>
      <c r="G92" s="24"/>
      <c r="H92" s="48"/>
      <c r="I92" s="24"/>
    </row>
    <row r="93" spans="1:9">
      <c r="A93" s="7"/>
      <c r="B93" s="54" t="s">
        <v>77</v>
      </c>
      <c r="C93" s="79"/>
      <c r="D93" s="55" t="str">
        <f>IF(ROUND(D89,2)=ROUND(D91,2),"OK","ABWEICHUNG")</f>
        <v>OK</v>
      </c>
      <c r="E93" s="55"/>
      <c r="F93" s="55"/>
      <c r="G93" s="55"/>
      <c r="H93" s="56"/>
      <c r="I93" s="24"/>
    </row>
    <row r="94" spans="1:9">
      <c r="A94" s="7"/>
      <c r="B94" s="28"/>
      <c r="C94" s="24"/>
      <c r="D94" s="24"/>
      <c r="E94" s="24"/>
      <c r="F94" s="24"/>
      <c r="G94" s="24"/>
      <c r="H94" s="24"/>
      <c r="I94" s="24"/>
    </row>
    <row r="95" spans="1:9">
      <c r="A95" s="7"/>
      <c r="B95" s="28"/>
      <c r="C95" s="24"/>
      <c r="D95" s="24"/>
      <c r="E95" s="24"/>
      <c r="F95" s="24"/>
      <c r="G95" s="24"/>
      <c r="H95" s="24"/>
      <c r="I95" s="24"/>
    </row>
    <row r="96" spans="1:9">
      <c r="A96" s="7"/>
      <c r="B96" s="28"/>
      <c r="C96" s="24"/>
      <c r="D96" s="24"/>
      <c r="E96" s="24"/>
      <c r="F96" s="24"/>
      <c r="G96" s="24"/>
      <c r="H96" s="24"/>
      <c r="I96" s="24"/>
    </row>
    <row r="97" spans="1:9" ht="14.65" thickBot="1">
      <c r="A97" s="7"/>
      <c r="B97" s="96"/>
      <c r="C97" s="97"/>
      <c r="D97" s="97"/>
      <c r="E97" s="97"/>
      <c r="F97" s="97"/>
      <c r="G97" s="97"/>
      <c r="H97" s="97"/>
      <c r="I97" s="97"/>
    </row>
    <row r="98" spans="1:9">
      <c r="C98" s="17"/>
      <c r="D98" s="17"/>
      <c r="E98" s="17"/>
      <c r="F98" s="17"/>
      <c r="G98" s="17"/>
      <c r="H98" s="17"/>
      <c r="I98" s="26"/>
    </row>
    <row r="99" spans="1:9" s="84" customFormat="1">
      <c r="A99" s="8"/>
      <c r="B99" s="13"/>
      <c r="C99" s="28" t="s">
        <v>125</v>
      </c>
      <c r="D99" s="13"/>
      <c r="E99" s="13"/>
      <c r="F99" s="13"/>
      <c r="G99" s="13"/>
      <c r="H99" s="13"/>
      <c r="I99" s="28"/>
    </row>
    <row r="100" spans="1:9" s="85" customFormat="1" ht="12.75">
      <c r="A100" s="32"/>
      <c r="B100" s="32"/>
      <c r="C100" s="32"/>
      <c r="D100" s="32"/>
      <c r="E100" s="32"/>
      <c r="F100" s="32"/>
      <c r="G100" s="32"/>
      <c r="H100" s="32"/>
      <c r="I100" s="32"/>
    </row>
    <row r="101" spans="1:9" s="85" customFormat="1" ht="13.9">
      <c r="A101" s="19"/>
      <c r="B101" s="19"/>
      <c r="C101" s="33" t="s">
        <v>92</v>
      </c>
      <c r="D101" s="34"/>
      <c r="E101" s="34"/>
      <c r="F101" s="34"/>
      <c r="G101" s="33"/>
      <c r="H101" s="34"/>
      <c r="I101" s="34"/>
    </row>
    <row r="103" spans="1:9">
      <c r="C103" s="33"/>
      <c r="D103" s="33"/>
      <c r="E103" s="34"/>
      <c r="F103" s="34"/>
      <c r="G103" s="82" t="s">
        <v>91</v>
      </c>
      <c r="H103" s="34"/>
      <c r="I103" s="35"/>
    </row>
    <row r="104" spans="1:9">
      <c r="C104" s="33"/>
      <c r="D104" s="33"/>
      <c r="E104" s="66">
        <v>1</v>
      </c>
      <c r="F104" s="66">
        <v>2</v>
      </c>
      <c r="G104" s="66">
        <v>3</v>
      </c>
      <c r="H104" s="66">
        <v>4</v>
      </c>
      <c r="I104" s="67">
        <v>5</v>
      </c>
    </row>
    <row r="105" spans="1:9" ht="14.25" customHeight="1">
      <c r="C105" s="246" t="s">
        <v>90</v>
      </c>
      <c r="D105" s="33" t="s">
        <v>69</v>
      </c>
      <c r="E105" s="39">
        <f>'Annahmen Zinsswaps'!D8</f>
        <v>1.6E-2</v>
      </c>
      <c r="F105" s="39">
        <f>'Annahmen Zinsswaps'!E8</f>
        <v>0.02</v>
      </c>
      <c r="G105" s="39">
        <f>'Annahmen Zinsswaps'!F8</f>
        <v>2.5000000000000001E-2</v>
      </c>
      <c r="H105" s="39">
        <f>'Annahmen Zinsswaps'!G8</f>
        <v>2.8000000000000001E-2</v>
      </c>
      <c r="I105" s="40">
        <f>'Annahmen Zinsswaps'!H8</f>
        <v>3.1E-2</v>
      </c>
    </row>
    <row r="106" spans="1:9">
      <c r="C106" s="247"/>
      <c r="D106" s="33" t="s">
        <v>70</v>
      </c>
      <c r="E106" s="86">
        <f>(1-$E$117)/E117</f>
        <v>2.4096385542168586E-2</v>
      </c>
      <c r="F106" s="86">
        <f>(1-F117)/(E117+F117)</f>
        <v>2.9688761323885499E-2</v>
      </c>
      <c r="G106" s="87">
        <f>(1-G117)/(E117+F117+G117)</f>
        <v>3.2242844369351112E-2</v>
      </c>
      <c r="H106" s="87">
        <f>(1-H117)/(E117+F117+G117+H117)</f>
        <v>3.5055551650398177E-2</v>
      </c>
      <c r="I106" s="88"/>
    </row>
    <row r="107" spans="1:9">
      <c r="C107" s="247"/>
      <c r="D107" s="33" t="s">
        <v>71</v>
      </c>
      <c r="E107" s="86">
        <f>(1-$E$118)/E118</f>
        <v>3.5479552093476106E-2</v>
      </c>
      <c r="F107" s="87">
        <f>(1-F118)/(E118+F118)</f>
        <v>3.653849632274471E-2</v>
      </c>
      <c r="G107" s="87">
        <f>(1-G118)/(E118+F118+G118)</f>
        <v>3.8986728050549826E-2</v>
      </c>
      <c r="H107" s="38"/>
      <c r="I107" s="89"/>
    </row>
    <row r="108" spans="1:9">
      <c r="C108" s="247"/>
      <c r="D108" s="33" t="s">
        <v>72</v>
      </c>
      <c r="E108" s="86">
        <f>(1-$E$119)/E119</f>
        <v>3.763729634978822E-2</v>
      </c>
      <c r="F108" s="87">
        <f t="shared" ref="F108" si="18">(1-F119)/(E119+F119)</f>
        <v>3.6577229568919352E-2</v>
      </c>
      <c r="G108" s="38"/>
      <c r="H108" s="38"/>
      <c r="I108" s="89"/>
    </row>
    <row r="109" spans="1:9">
      <c r="C109" s="248"/>
      <c r="D109" s="90" t="s">
        <v>73</v>
      </c>
      <c r="E109" s="91">
        <f>(1-E120)/E120</f>
        <v>4.4195811922471885E-2</v>
      </c>
      <c r="F109" s="92"/>
      <c r="G109" s="92"/>
      <c r="H109" s="92"/>
      <c r="I109" s="93"/>
    </row>
    <row r="110" spans="1:9">
      <c r="I110" s="5"/>
    </row>
    <row r="111" spans="1:9">
      <c r="I111" s="5"/>
    </row>
    <row r="112" spans="1:9">
      <c r="C112" s="33" t="s">
        <v>93</v>
      </c>
      <c r="D112" s="34"/>
      <c r="E112" s="34"/>
      <c r="F112" s="34"/>
      <c r="G112" s="33"/>
      <c r="H112" s="34"/>
      <c r="I112" s="34"/>
    </row>
    <row r="114" spans="3:9">
      <c r="C114" s="33"/>
      <c r="D114" s="33"/>
      <c r="E114" s="34"/>
      <c r="F114" s="34"/>
      <c r="G114" s="82" t="s">
        <v>91</v>
      </c>
      <c r="H114" s="34"/>
      <c r="I114" s="35"/>
    </row>
    <row r="115" spans="3:9">
      <c r="C115" s="33"/>
      <c r="D115" s="33"/>
      <c r="E115" s="66">
        <v>1</v>
      </c>
      <c r="F115" s="66">
        <v>2</v>
      </c>
      <c r="G115" s="66">
        <v>3</v>
      </c>
      <c r="H115" s="66">
        <v>4</v>
      </c>
      <c r="I115" s="67">
        <v>5</v>
      </c>
    </row>
    <row r="116" spans="3:9">
      <c r="C116" s="246" t="s">
        <v>90</v>
      </c>
      <c r="D116" s="33" t="s">
        <v>69</v>
      </c>
      <c r="E116" s="43">
        <f>1/(1+E105)</f>
        <v>0.98425196850393704</v>
      </c>
      <c r="F116" s="43">
        <f>(1-F105*E116)/(1+F105)</f>
        <v>0.9610930986567856</v>
      </c>
      <c r="G116" s="43">
        <f>(1-G105*(E116+F116))/(1+G105)</f>
        <v>0.92816231543510441</v>
      </c>
      <c r="H116" s="43">
        <f>(1-H105*(E116+F116+G116))/(1+H105)</f>
        <v>0.89449590786703981</v>
      </c>
      <c r="I116" s="44">
        <f>(1-I105*(E116+F116+G116+H116))/(1+I105)</f>
        <v>0.85663617652342505</v>
      </c>
    </row>
    <row r="117" spans="3:9" ht="14.25" customHeight="1">
      <c r="C117" s="247"/>
      <c r="D117" s="33" t="s">
        <v>70</v>
      </c>
      <c r="E117" s="94">
        <f>F116/E116</f>
        <v>0.9764705882352942</v>
      </c>
      <c r="F117" s="94">
        <f>G116/E116</f>
        <v>0.94301291248206609</v>
      </c>
      <c r="G117" s="94">
        <f>H116/E116</f>
        <v>0.90880784239291246</v>
      </c>
      <c r="H117" s="94">
        <f>I116/E116</f>
        <v>0.8703423553477998</v>
      </c>
      <c r="I117" s="89"/>
    </row>
    <row r="118" spans="3:9">
      <c r="C118" s="247"/>
      <c r="D118" s="33" t="s">
        <v>71</v>
      </c>
      <c r="E118" s="94">
        <f>G116/F116</f>
        <v>0.96573611519247726</v>
      </c>
      <c r="F118" s="94">
        <f>H116/F116</f>
        <v>0.93070682654695847</v>
      </c>
      <c r="G118" s="94">
        <f>I116/F116</f>
        <v>0.89131446029593953</v>
      </c>
      <c r="H118" s="38"/>
      <c r="I118" s="89"/>
    </row>
    <row r="119" spans="3:9">
      <c r="C119" s="247"/>
      <c r="D119" s="33" t="s">
        <v>72</v>
      </c>
      <c r="E119" s="94">
        <f>H116/G116</f>
        <v>0.96372788788318509</v>
      </c>
      <c r="F119" s="94">
        <f>H116/F116</f>
        <v>0.93070682654695847</v>
      </c>
      <c r="G119" s="38"/>
      <c r="H119" s="38"/>
      <c r="I119" s="89"/>
    </row>
    <row r="120" spans="3:9">
      <c r="C120" s="248"/>
      <c r="D120" s="90" t="s">
        <v>73</v>
      </c>
      <c r="E120" s="95">
        <f>I116/H116</f>
        <v>0.95767478530573413</v>
      </c>
      <c r="F120" s="92"/>
      <c r="G120" s="92"/>
      <c r="H120" s="92"/>
      <c r="I120" s="93"/>
    </row>
    <row r="123" spans="3:9">
      <c r="C123" s="28" t="s">
        <v>126</v>
      </c>
      <c r="D123" s="13"/>
      <c r="E123" s="13"/>
      <c r="F123" s="13"/>
      <c r="G123" s="13"/>
      <c r="H123" s="13"/>
      <c r="I123" s="28"/>
    </row>
    <row r="124" spans="3:9">
      <c r="C124" s="32"/>
      <c r="D124" s="32"/>
      <c r="E124" s="32"/>
      <c r="F124" s="32"/>
      <c r="G124" s="32"/>
      <c r="H124" s="32"/>
      <c r="I124" s="32"/>
    </row>
    <row r="125" spans="3:9">
      <c r="C125" s="33" t="s">
        <v>92</v>
      </c>
      <c r="D125" s="34"/>
      <c r="E125" s="34"/>
      <c r="F125" s="34"/>
      <c r="G125" s="33"/>
      <c r="H125" s="34"/>
      <c r="I125" s="34"/>
    </row>
    <row r="127" spans="3:9">
      <c r="C127" s="33"/>
      <c r="D127" s="33"/>
      <c r="E127" s="34"/>
      <c r="F127" s="34"/>
      <c r="G127" s="82" t="s">
        <v>91</v>
      </c>
      <c r="H127" s="34"/>
      <c r="I127" s="35"/>
    </row>
    <row r="128" spans="3:9">
      <c r="C128" s="33"/>
      <c r="D128" s="33"/>
      <c r="E128" s="66">
        <v>1</v>
      </c>
      <c r="F128" s="66">
        <v>2</v>
      </c>
      <c r="G128" s="66">
        <v>3</v>
      </c>
      <c r="H128" s="66">
        <v>4</v>
      </c>
      <c r="I128" s="67">
        <v>5</v>
      </c>
    </row>
    <row r="129" spans="3:9">
      <c r="C129" s="33"/>
      <c r="D129" s="33" t="s">
        <v>69</v>
      </c>
      <c r="E129" s="39">
        <f>LN(E116)/-E115</f>
        <v>1.5873349156290122E-2</v>
      </c>
      <c r="F129" s="39">
        <f t="shared" ref="F129:I129" si="19">LN(F116)/-F115</f>
        <v>1.9841998925004312E-2</v>
      </c>
      <c r="G129" s="39">
        <f t="shared" si="19"/>
        <v>2.4849550872225071E-2</v>
      </c>
      <c r="H129" s="39">
        <f t="shared" si="19"/>
        <v>2.7873737703790914E-2</v>
      </c>
      <c r="I129" s="40">
        <f t="shared" si="19"/>
        <v>3.0948396400254874E-2</v>
      </c>
    </row>
  </sheetData>
  <mergeCells count="2">
    <mergeCell ref="C105:C109"/>
    <mergeCell ref="C116:C120"/>
  </mergeCells>
  <conditionalFormatting sqref="C29:C31">
    <cfRule type="cellIs" dxfId="8" priority="15" operator="equal">
      <formula>"ABWEICHUNG"</formula>
    </cfRule>
    <cfRule type="cellIs" dxfId="7" priority="16" operator="equal">
      <formula>"OK"</formula>
    </cfRule>
  </conditionalFormatting>
  <conditionalFormatting sqref="C61">
    <cfRule type="cellIs" dxfId="6" priority="3" operator="equal">
      <formula>"ABWEICHUNG"</formula>
    </cfRule>
    <cfRule type="cellIs" dxfId="5" priority="4" operator="equal">
      <formula>"OK"</formula>
    </cfRule>
  </conditionalFormatting>
  <conditionalFormatting sqref="D93">
    <cfRule type="cellIs" dxfId="4" priority="1" operator="equal">
      <formula>"ABWEICHUNG"</formula>
    </cfRule>
    <cfRule type="cellIs" dxfId="3" priority="2" operator="equal">
      <formula>"OK"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B3:I28"/>
  <sheetViews>
    <sheetView showGridLines="0" zoomScaleNormal="100" workbookViewId="0">
      <selection activeCell="K24" sqref="K24"/>
    </sheetView>
  </sheetViews>
  <sheetFormatPr defaultColWidth="11.5" defaultRowHeight="14.25"/>
  <cols>
    <col min="1" max="1" width="3.1875" style="5" customWidth="1"/>
    <col min="2" max="2" width="30.8125" style="5" customWidth="1"/>
    <col min="3" max="3" width="14.3125" style="5" customWidth="1"/>
    <col min="4" max="4" width="16" style="5" customWidth="1"/>
    <col min="5" max="8" width="14.3125" style="5" customWidth="1"/>
    <col min="9" max="9" width="7.6875" style="5" customWidth="1"/>
    <col min="10" max="11" width="11.5" style="5"/>
    <col min="12" max="12" width="14.6875" style="5" bestFit="1" customWidth="1"/>
    <col min="13" max="13" width="15.5" style="5" bestFit="1" customWidth="1"/>
    <col min="14" max="16384" width="11.5" style="5"/>
  </cols>
  <sheetData>
    <row r="3" spans="2:9" s="8" customFormat="1">
      <c r="B3" s="33" t="s">
        <v>58</v>
      </c>
      <c r="C3" s="33"/>
      <c r="D3" s="33">
        <v>1</v>
      </c>
      <c r="E3" s="33">
        <v>2</v>
      </c>
      <c r="F3" s="33">
        <v>3</v>
      </c>
      <c r="G3" s="33">
        <v>4</v>
      </c>
      <c r="H3" s="99">
        <v>5</v>
      </c>
      <c r="I3" s="80"/>
    </row>
    <row r="4" spans="2:9">
      <c r="B4" s="202" t="s">
        <v>114</v>
      </c>
      <c r="C4" s="92" t="s">
        <v>38</v>
      </c>
      <c r="D4" s="105">
        <v>1.6E-2</v>
      </c>
      <c r="E4" s="105">
        <v>0.02</v>
      </c>
      <c r="F4" s="105">
        <v>2.5000000000000001E-2</v>
      </c>
      <c r="G4" s="105">
        <v>2.8000000000000001E-2</v>
      </c>
      <c r="H4" s="106">
        <v>3.1E-2</v>
      </c>
      <c r="I4" s="80"/>
    </row>
    <row r="7" spans="2:9">
      <c r="B7" s="156" t="s">
        <v>116</v>
      </c>
      <c r="C7" s="149"/>
      <c r="D7" s="218" t="s">
        <v>117</v>
      </c>
    </row>
    <row r="8" spans="2:9" ht="15.75">
      <c r="B8" s="221">
        <v>1</v>
      </c>
      <c r="C8" s="222"/>
      <c r="D8" s="219">
        <v>2.5999999999999999E-2</v>
      </c>
    </row>
    <row r="9" spans="2:9" ht="15.75">
      <c r="B9" s="223">
        <v>2</v>
      </c>
      <c r="C9" s="224"/>
      <c r="D9" s="219">
        <v>2.5999999999999999E-2</v>
      </c>
    </row>
    <row r="10" spans="2:9" ht="15.75">
      <c r="B10" s="221">
        <v>3</v>
      </c>
      <c r="C10" s="222"/>
      <c r="D10" s="219">
        <v>2.5999999999999999E-2</v>
      </c>
    </row>
    <row r="11" spans="2:9" ht="15.75">
      <c r="B11" s="225">
        <v>4</v>
      </c>
      <c r="C11" s="226"/>
      <c r="D11" s="220">
        <v>2.5999999999999999E-2</v>
      </c>
    </row>
    <row r="14" spans="2:9">
      <c r="B14" s="90" t="s">
        <v>136</v>
      </c>
      <c r="C14" s="149"/>
      <c r="D14" s="151">
        <v>1000000</v>
      </c>
    </row>
    <row r="16" spans="2:9">
      <c r="B16" s="90" t="s">
        <v>13</v>
      </c>
      <c r="C16" s="149"/>
      <c r="D16" s="151">
        <v>360</v>
      </c>
    </row>
    <row r="18" spans="2:5">
      <c r="B18" s="90" t="s">
        <v>141</v>
      </c>
      <c r="C18" s="149"/>
      <c r="D18" s="151">
        <v>360</v>
      </c>
    </row>
    <row r="20" spans="2:5">
      <c r="B20" s="90" t="s">
        <v>142</v>
      </c>
      <c r="C20" s="149"/>
      <c r="D20" s="151">
        <f>D18/D16</f>
        <v>1</v>
      </c>
    </row>
    <row r="24" spans="2:5" ht="42">
      <c r="B24" s="147" t="s">
        <v>127</v>
      </c>
      <c r="C24" s="142" t="s">
        <v>143</v>
      </c>
      <c r="D24" s="142" t="s">
        <v>144</v>
      </c>
      <c r="E24" s="176" t="s">
        <v>130</v>
      </c>
    </row>
    <row r="25" spans="2:5" ht="15.75">
      <c r="B25" s="206">
        <v>0</v>
      </c>
      <c r="C25" s="162">
        <v>1</v>
      </c>
      <c r="D25" s="162">
        <v>2</v>
      </c>
      <c r="E25" s="203">
        <v>0.2</v>
      </c>
    </row>
    <row r="26" spans="2:5" ht="15.75">
      <c r="B26" s="207">
        <v>1</v>
      </c>
      <c r="C26" s="168">
        <v>2</v>
      </c>
      <c r="D26" s="168">
        <v>3</v>
      </c>
      <c r="E26" s="204">
        <v>0.2</v>
      </c>
    </row>
    <row r="27" spans="2:5" ht="15.75">
      <c r="B27" s="208">
        <v>2</v>
      </c>
      <c r="C27" s="168">
        <v>3</v>
      </c>
      <c r="D27" s="168">
        <v>4</v>
      </c>
      <c r="E27" s="204">
        <v>0.2</v>
      </c>
    </row>
    <row r="28" spans="2:5" ht="15.75">
      <c r="B28" s="209">
        <v>3</v>
      </c>
      <c r="C28" s="172">
        <v>4</v>
      </c>
      <c r="D28" s="172">
        <v>5</v>
      </c>
      <c r="E28" s="205">
        <v>0.2</v>
      </c>
    </row>
  </sheetData>
  <conditionalFormatting sqref="E25:E28">
    <cfRule type="cellIs" dxfId="2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95"/>
  <sheetViews>
    <sheetView showGridLines="0" tabSelected="1" topLeftCell="A47" zoomScale="90" zoomScaleNormal="90" workbookViewId="0">
      <selection activeCell="E57" sqref="E57"/>
    </sheetView>
  </sheetViews>
  <sheetFormatPr defaultColWidth="11" defaultRowHeight="15.75"/>
  <cols>
    <col min="2" max="2" width="15.6875" customWidth="1"/>
    <col min="3" max="3" width="12.8125" customWidth="1"/>
    <col min="4" max="4" width="15.3125" customWidth="1"/>
    <col min="5" max="5" width="18" customWidth="1"/>
    <col min="6" max="6" width="18.3125" customWidth="1"/>
    <col min="7" max="7" width="16.3125" customWidth="1"/>
  </cols>
  <sheetData>
    <row r="1" spans="1:9" s="83" customFormat="1" ht="14.25">
      <c r="A1" s="5"/>
      <c r="B1" s="5"/>
      <c r="C1" s="17"/>
      <c r="D1" s="17"/>
      <c r="E1" s="17"/>
      <c r="F1" s="17"/>
      <c r="G1" s="17"/>
      <c r="H1" s="17"/>
      <c r="I1" s="26"/>
    </row>
    <row r="2" spans="1:9" s="83" customFormat="1" ht="14.25">
      <c r="A2" s="5"/>
      <c r="B2" s="5"/>
      <c r="C2" s="17"/>
      <c r="D2" s="17"/>
      <c r="E2" s="17"/>
      <c r="F2" s="17"/>
      <c r="G2" s="17"/>
      <c r="H2" s="17"/>
      <c r="I2" s="26"/>
    </row>
    <row r="3" spans="1:9" s="84" customFormat="1" ht="14.25">
      <c r="A3" s="8"/>
      <c r="B3" s="28" t="s">
        <v>134</v>
      </c>
      <c r="C3" s="13"/>
      <c r="D3" s="13"/>
      <c r="E3" s="13"/>
      <c r="F3" s="13"/>
      <c r="G3" s="13"/>
      <c r="H3" s="28"/>
    </row>
    <row r="4" spans="1:9" s="85" customFormat="1" ht="12.75">
      <c r="A4" s="32"/>
      <c r="B4" s="32"/>
      <c r="C4" s="32"/>
      <c r="D4" s="32"/>
      <c r="E4" s="32"/>
      <c r="F4" s="32"/>
      <c r="G4" s="32"/>
      <c r="H4" s="32"/>
    </row>
    <row r="5" spans="1:9" s="5" customFormat="1" ht="14.25"/>
    <row r="6" spans="1:9" s="8" customFormat="1" ht="14.25">
      <c r="B6" s="33" t="s">
        <v>114</v>
      </c>
      <c r="C6" s="33"/>
      <c r="D6" s="33">
        <v>1</v>
      </c>
      <c r="E6" s="33">
        <v>2</v>
      </c>
      <c r="F6" s="33">
        <v>3</v>
      </c>
      <c r="G6" s="33">
        <v>4</v>
      </c>
      <c r="H6" s="99">
        <v>5</v>
      </c>
      <c r="I6" s="80"/>
    </row>
    <row r="7" spans="1:9" s="5" customFormat="1" ht="15" customHeight="1">
      <c r="B7" s="90"/>
      <c r="C7" s="33" t="s">
        <v>69</v>
      </c>
      <c r="D7" s="103">
        <f>'Annahmen Hedging mit Caps'!D4</f>
        <v>1.6E-2</v>
      </c>
      <c r="E7" s="103">
        <f>'Annahmen Hedging mit Caps'!E4</f>
        <v>0.02</v>
      </c>
      <c r="F7" s="103">
        <f>'Annahmen Hedging mit Caps'!F4</f>
        <v>2.5000000000000001E-2</v>
      </c>
      <c r="G7" s="103">
        <f>'Annahmen Hedging mit Caps'!G4</f>
        <v>2.8000000000000001E-2</v>
      </c>
      <c r="H7" s="108">
        <f>'Annahmen Hedging mit Caps'!H4</f>
        <v>3.1E-2</v>
      </c>
      <c r="I7" s="80"/>
    </row>
    <row r="8" spans="1:9" s="5" customFormat="1" ht="14.25"/>
    <row r="9" spans="1:9" s="5" customFormat="1" ht="14.25"/>
    <row r="10" spans="1:9" s="83" customFormat="1" ht="15" customHeight="1">
      <c r="A10" s="5"/>
      <c r="B10" s="90" t="s">
        <v>93</v>
      </c>
      <c r="C10" s="149"/>
      <c r="D10" s="149"/>
      <c r="E10" s="149"/>
      <c r="F10" s="90"/>
      <c r="G10" s="149"/>
      <c r="H10" s="150"/>
    </row>
    <row r="11" spans="1:9" s="83" customFormat="1" ht="14.25">
      <c r="A11" s="5"/>
      <c r="B11" s="5"/>
      <c r="C11" s="5"/>
      <c r="D11" s="5"/>
      <c r="E11" s="5"/>
      <c r="F11" s="5"/>
      <c r="G11" s="5"/>
      <c r="H11" s="7"/>
    </row>
    <row r="12" spans="1:9" s="83" customFormat="1" ht="14.25">
      <c r="A12" s="5"/>
      <c r="B12" s="33"/>
      <c r="C12" s="33"/>
      <c r="D12" s="34"/>
      <c r="E12" s="34"/>
      <c r="F12" s="82" t="s">
        <v>91</v>
      </c>
      <c r="G12" s="34"/>
      <c r="H12" s="35"/>
    </row>
    <row r="13" spans="1:9" s="83" customFormat="1" ht="14.25">
      <c r="A13" s="5"/>
      <c r="B13" s="33"/>
      <c r="C13" s="33"/>
      <c r="D13" s="66">
        <v>1</v>
      </c>
      <c r="E13" s="66">
        <v>2</v>
      </c>
      <c r="F13" s="66">
        <v>3</v>
      </c>
      <c r="G13" s="66">
        <v>4</v>
      </c>
      <c r="H13" s="67">
        <v>5</v>
      </c>
    </row>
    <row r="14" spans="1:9" s="83" customFormat="1" ht="15" customHeight="1">
      <c r="A14" s="5"/>
      <c r="B14" s="246" t="s">
        <v>90</v>
      </c>
      <c r="C14" s="33" t="s">
        <v>69</v>
      </c>
      <c r="D14" s="192">
        <f>1/(1+D32)^D13</f>
        <v>0.98425196850393704</v>
      </c>
      <c r="E14" s="193">
        <f>(1-E32*D14)/(1+E32)</f>
        <v>0.9610930986567856</v>
      </c>
      <c r="F14" s="193">
        <f>(1-F32*(D14+E14))/(1+F32)</f>
        <v>0.92816231543510441</v>
      </c>
      <c r="G14" s="193">
        <f>(1-G32*(D14+E14+F14))/(1+G32)</f>
        <v>0.89449590786703981</v>
      </c>
      <c r="H14" s="194">
        <f>(1-H32*(D14+E14+F14+G14))/(1+H32)</f>
        <v>0.85663617652342505</v>
      </c>
    </row>
    <row r="15" spans="1:9" s="83" customFormat="1" ht="14.25" customHeight="1">
      <c r="A15" s="5"/>
      <c r="B15" s="249"/>
      <c r="C15" s="33" t="s">
        <v>70</v>
      </c>
      <c r="D15" s="195">
        <f>E14/D14</f>
        <v>0.9764705882352942</v>
      </c>
      <c r="E15" s="196">
        <f>F14/D14</f>
        <v>0.94301291248206609</v>
      </c>
      <c r="F15" s="196">
        <f>G14/D14</f>
        <v>0.90880784239291246</v>
      </c>
      <c r="G15" s="196">
        <f>H14/D14</f>
        <v>0.8703423553477998</v>
      </c>
      <c r="H15" s="197"/>
    </row>
    <row r="16" spans="1:9" s="83" customFormat="1" ht="14.25">
      <c r="A16" s="5"/>
      <c r="B16" s="249"/>
      <c r="C16" s="33" t="s">
        <v>71</v>
      </c>
      <c r="D16" s="195">
        <f>F14/E14</f>
        <v>0.96573611519247726</v>
      </c>
      <c r="E16" s="196">
        <f>G14/E14</f>
        <v>0.93070682654695847</v>
      </c>
      <c r="F16" s="196">
        <f>H14/E14</f>
        <v>0.89131446029593953</v>
      </c>
      <c r="G16" s="198"/>
      <c r="H16" s="197"/>
    </row>
    <row r="17" spans="1:11" s="83" customFormat="1" ht="14.25">
      <c r="A17" s="5"/>
      <c r="B17" s="249"/>
      <c r="C17" s="33" t="s">
        <v>72</v>
      </c>
      <c r="D17" s="195">
        <f>G14/F14</f>
        <v>0.96372788788318509</v>
      </c>
      <c r="E17" s="196">
        <f>H14/F14</f>
        <v>0.92293789812167792</v>
      </c>
      <c r="F17" s="198"/>
      <c r="G17" s="198"/>
      <c r="H17" s="197"/>
    </row>
    <row r="18" spans="1:11" s="83" customFormat="1" ht="14.25">
      <c r="A18" s="5"/>
      <c r="B18" s="250"/>
      <c r="C18" s="90" t="s">
        <v>73</v>
      </c>
      <c r="D18" s="199">
        <f>H14/G14</f>
        <v>0.95767478530573413</v>
      </c>
      <c r="E18" s="200"/>
      <c r="F18" s="200"/>
      <c r="G18" s="200"/>
      <c r="H18" s="201"/>
    </row>
    <row r="19" spans="1:11" s="83" customFormat="1" ht="14.25">
      <c r="A19" s="5"/>
      <c r="B19" s="5"/>
      <c r="C19" s="5"/>
      <c r="D19" s="5"/>
      <c r="E19" s="5"/>
      <c r="F19" s="5"/>
      <c r="G19" s="5"/>
      <c r="H19" s="7"/>
    </row>
    <row r="20" spans="1:11" s="83" customFormat="1" ht="14.25">
      <c r="A20" s="5"/>
      <c r="B20" s="5"/>
      <c r="C20" s="5"/>
      <c r="D20" s="5"/>
      <c r="E20" s="5"/>
      <c r="F20" s="5"/>
      <c r="G20" s="5"/>
      <c r="H20" s="7"/>
    </row>
    <row r="21" spans="1:11" s="83" customFormat="1" ht="14.25">
      <c r="A21" s="5"/>
      <c r="B21" s="90" t="s">
        <v>135</v>
      </c>
      <c r="C21" s="149"/>
      <c r="D21" s="149"/>
      <c r="E21" s="149"/>
      <c r="F21" s="90"/>
      <c r="G21" s="149"/>
      <c r="H21" s="150"/>
    </row>
    <row r="22" spans="1:11" s="83" customFormat="1" ht="14.25">
      <c r="A22" s="5"/>
      <c r="B22" s="5"/>
      <c r="C22" s="5"/>
      <c r="D22" s="5"/>
      <c r="E22" s="5"/>
      <c r="F22" s="5"/>
      <c r="G22" s="5"/>
      <c r="H22" s="7"/>
      <c r="K22" s="213"/>
    </row>
    <row r="23" spans="1:11" s="83" customFormat="1" ht="14.25">
      <c r="A23" s="5"/>
      <c r="B23" s="33"/>
      <c r="C23" s="33"/>
      <c r="D23" s="34"/>
      <c r="E23" s="34"/>
      <c r="F23" s="82" t="s">
        <v>91</v>
      </c>
      <c r="G23" s="34"/>
      <c r="H23" s="35"/>
    </row>
    <row r="24" spans="1:11" s="83" customFormat="1" ht="14.25">
      <c r="A24" s="5"/>
      <c r="B24" s="33"/>
      <c r="C24" s="33"/>
      <c r="D24" s="66">
        <v>1</v>
      </c>
      <c r="E24" s="66">
        <v>2</v>
      </c>
      <c r="F24" s="66">
        <v>3</v>
      </c>
      <c r="G24" s="66">
        <v>4</v>
      </c>
      <c r="H24" s="67">
        <v>5</v>
      </c>
    </row>
    <row r="25" spans="1:11" s="83" customFormat="1" ht="14.25">
      <c r="A25" s="5"/>
      <c r="B25" s="90"/>
      <c r="C25" s="90" t="s">
        <v>69</v>
      </c>
      <c r="D25" s="103">
        <f>LN(D14)/-D13</f>
        <v>1.5873349156290122E-2</v>
      </c>
      <c r="E25" s="103">
        <f>LN(E14)/-E13</f>
        <v>1.9841998925004312E-2</v>
      </c>
      <c r="F25" s="103">
        <f>LN(F14)/-F13</f>
        <v>2.4849550872225071E-2</v>
      </c>
      <c r="G25" s="103">
        <f>LN(G14)/-G13</f>
        <v>2.7873737703790914E-2</v>
      </c>
      <c r="H25" s="108">
        <f>LN(H14)/-H13</f>
        <v>3.0948396400254874E-2</v>
      </c>
    </row>
    <row r="26" spans="1:11" s="83" customFormat="1" ht="14.25">
      <c r="A26" s="5"/>
      <c r="B26" s="5"/>
      <c r="C26" s="5"/>
      <c r="D26" s="5"/>
      <c r="E26" s="5"/>
      <c r="F26" s="5"/>
      <c r="G26" s="5"/>
      <c r="H26" s="5"/>
      <c r="I26" s="7"/>
    </row>
    <row r="27" spans="1:11" s="83" customFormat="1" ht="14.25">
      <c r="A27" s="5"/>
      <c r="B27" s="5"/>
      <c r="C27" s="5"/>
      <c r="D27" s="5"/>
      <c r="E27" s="5"/>
      <c r="F27" s="5"/>
      <c r="G27" s="5"/>
      <c r="H27" s="7"/>
    </row>
    <row r="28" spans="1:11" s="85" customFormat="1" ht="13.9">
      <c r="A28" s="19"/>
      <c r="B28" s="90" t="s">
        <v>92</v>
      </c>
      <c r="C28" s="149"/>
      <c r="D28" s="149"/>
      <c r="E28" s="149"/>
      <c r="F28" s="90"/>
      <c r="G28" s="149"/>
      <c r="H28" s="150"/>
    </row>
    <row r="29" spans="1:11" s="83" customFormat="1" ht="14.25">
      <c r="A29" s="5"/>
      <c r="B29" s="5"/>
      <c r="C29" s="5"/>
      <c r="D29" s="5"/>
      <c r="E29" s="5"/>
      <c r="F29" s="5"/>
      <c r="G29" s="5"/>
      <c r="H29" s="7"/>
    </row>
    <row r="30" spans="1:11" s="83" customFormat="1" ht="14.25">
      <c r="A30" s="5"/>
      <c r="B30" s="33"/>
      <c r="C30" s="33"/>
      <c r="D30" s="34"/>
      <c r="E30" s="34"/>
      <c r="F30" s="82" t="s">
        <v>91</v>
      </c>
      <c r="G30" s="34"/>
      <c r="H30" s="35"/>
    </row>
    <row r="31" spans="1:11" s="83" customFormat="1" ht="14.25">
      <c r="A31" s="5"/>
      <c r="B31" s="33"/>
      <c r="C31" s="33"/>
      <c r="D31" s="66">
        <v>1</v>
      </c>
      <c r="E31" s="66">
        <v>2</v>
      </c>
      <c r="F31" s="66">
        <v>3</v>
      </c>
      <c r="G31" s="66">
        <v>4</v>
      </c>
      <c r="H31" s="67">
        <v>5</v>
      </c>
    </row>
    <row r="32" spans="1:11" s="83" customFormat="1" ht="14.25" customHeight="1">
      <c r="A32" s="5"/>
      <c r="B32" s="251" t="s">
        <v>90</v>
      </c>
      <c r="C32" s="33" t="s">
        <v>69</v>
      </c>
      <c r="D32" s="39">
        <f>'Annahmen Zinsswaps'!D8</f>
        <v>1.6E-2</v>
      </c>
      <c r="E32" s="39">
        <f>'Annahmen Zinsswaps'!E8</f>
        <v>0.02</v>
      </c>
      <c r="F32" s="39">
        <f>'Annahmen Zinsswaps'!F8</f>
        <v>2.5000000000000001E-2</v>
      </c>
      <c r="G32" s="39">
        <f>'Annahmen Zinsswaps'!G8</f>
        <v>2.8000000000000001E-2</v>
      </c>
      <c r="H32" s="40">
        <f>'Annahmen Zinsswaps'!H8</f>
        <v>3.1E-2</v>
      </c>
    </row>
    <row r="33" spans="1:8" s="83" customFormat="1" ht="14.25">
      <c r="A33" s="5"/>
      <c r="B33" s="252"/>
      <c r="C33" s="33" t="s">
        <v>70</v>
      </c>
      <c r="D33" s="187">
        <f>(1-$D$15)/D15</f>
        <v>2.4096385542168586E-2</v>
      </c>
      <c r="E33" s="187">
        <f>(1-E15)/(D15+E15)</f>
        <v>2.9688761323885499E-2</v>
      </c>
      <c r="F33" s="187">
        <f>(1-F15)/(D15+E15+F15)</f>
        <v>3.2242844369351112E-2</v>
      </c>
      <c r="G33" s="187">
        <f>(1-G15)/(D15+E15+F15+G15)</f>
        <v>3.5055551650398177E-2</v>
      </c>
      <c r="H33" s="188"/>
    </row>
    <row r="34" spans="1:8" s="83" customFormat="1" ht="14.25">
      <c r="A34" s="5"/>
      <c r="B34" s="252"/>
      <c r="C34" s="33" t="s">
        <v>71</v>
      </c>
      <c r="D34" s="187">
        <f>(1-$D$16)/D16</f>
        <v>3.5479552093476106E-2</v>
      </c>
      <c r="E34" s="187">
        <f>(1-E16)/(D16+E16)</f>
        <v>3.653849632274471E-2</v>
      </c>
      <c r="F34" s="187">
        <f>(1-F16)/(D16+E16+F16)</f>
        <v>3.8986728050549826E-2</v>
      </c>
      <c r="G34" s="189"/>
      <c r="H34" s="188"/>
    </row>
    <row r="35" spans="1:8" s="83" customFormat="1" ht="14.25">
      <c r="A35" s="5"/>
      <c r="B35" s="252"/>
      <c r="C35" s="33" t="s">
        <v>72</v>
      </c>
      <c r="D35" s="187">
        <f>(1-$D$17)/D17</f>
        <v>3.763729634978822E-2</v>
      </c>
      <c r="E35" s="187">
        <f>(1-E17)/(D17+E17)</f>
        <v>4.084565610399183E-2</v>
      </c>
      <c r="F35" s="189"/>
      <c r="G35" s="189"/>
      <c r="H35" s="188"/>
    </row>
    <row r="36" spans="1:8" s="83" customFormat="1" ht="14.25">
      <c r="A36" s="5"/>
      <c r="B36" s="253"/>
      <c r="C36" s="90" t="s">
        <v>73</v>
      </c>
      <c r="D36" s="217">
        <f>(1-D18)/D18</f>
        <v>4.4195811922471885E-2</v>
      </c>
      <c r="E36" s="190"/>
      <c r="F36" s="190"/>
      <c r="G36" s="190"/>
      <c r="H36" s="191"/>
    </row>
    <row r="37" spans="1:8" s="83" customFormat="1" ht="14.25">
      <c r="A37" s="5"/>
      <c r="B37" s="5"/>
      <c r="C37" s="5"/>
      <c r="D37" s="5"/>
      <c r="E37" s="5"/>
      <c r="F37" s="5"/>
      <c r="G37" s="5"/>
      <c r="H37" s="5"/>
    </row>
    <row r="38" spans="1:8" s="83" customFormat="1" ht="14.25">
      <c r="A38" s="5"/>
      <c r="B38" s="5"/>
      <c r="C38" s="5"/>
      <c r="D38" s="5"/>
      <c r="E38" s="5"/>
      <c r="F38" s="5"/>
      <c r="G38" s="5"/>
      <c r="H38" s="5"/>
    </row>
    <row r="39" spans="1:8" s="83" customFormat="1" ht="14.25">
      <c r="A39" s="5"/>
      <c r="B39" s="5"/>
      <c r="C39" s="5"/>
      <c r="D39" s="5"/>
      <c r="E39" s="5"/>
      <c r="F39" s="5"/>
      <c r="G39" s="5"/>
      <c r="H39" s="7"/>
    </row>
    <row r="40" spans="1:8" s="83" customFormat="1" ht="14.25">
      <c r="A40" s="5"/>
      <c r="B40" s="90" t="s">
        <v>145</v>
      </c>
      <c r="C40" s="149"/>
      <c r="D40" s="149"/>
      <c r="E40" s="149"/>
      <c r="F40" s="150"/>
    </row>
    <row r="41" spans="1:8" ht="24" customHeight="1"/>
    <row r="42" spans="1:8" ht="27.75">
      <c r="B42" s="233" t="s">
        <v>151</v>
      </c>
      <c r="C42" s="234" t="s">
        <v>117</v>
      </c>
      <c r="D42" s="234" t="s">
        <v>118</v>
      </c>
      <c r="E42" s="235" t="s">
        <v>119</v>
      </c>
      <c r="F42" s="236" t="s">
        <v>120</v>
      </c>
    </row>
    <row r="43" spans="1:8">
      <c r="B43" s="147" t="s">
        <v>70</v>
      </c>
      <c r="C43" s="152">
        <f>'Annahmen Hedging mit Caps'!D8</f>
        <v>2.5999999999999999E-2</v>
      </c>
      <c r="D43" s="152">
        <f>E32</f>
        <v>0.02</v>
      </c>
      <c r="E43" s="152">
        <f>IF(D43&gt;C43,D43-C43,0)</f>
        <v>0</v>
      </c>
      <c r="F43" s="153">
        <f>E43*'Annahmen Hedging mit Caps'!$D$14</f>
        <v>0</v>
      </c>
    </row>
    <row r="44" spans="1:8">
      <c r="B44" s="147" t="s">
        <v>71</v>
      </c>
      <c r="C44" s="152">
        <f>'Annahmen Hedging mit Caps'!D9</f>
        <v>2.5999999999999999E-2</v>
      </c>
      <c r="D44" s="152">
        <f>F32</f>
        <v>2.5000000000000001E-2</v>
      </c>
      <c r="E44" s="152">
        <f>IF(D44&gt;C44,D44-C44,0)</f>
        <v>0</v>
      </c>
      <c r="F44" s="153">
        <f>E44*'Annahmen Hedging mit Caps'!$D$14</f>
        <v>0</v>
      </c>
    </row>
    <row r="45" spans="1:8">
      <c r="B45" s="147" t="s">
        <v>72</v>
      </c>
      <c r="C45" s="152">
        <f>'Annahmen Hedging mit Caps'!D10</f>
        <v>2.5999999999999999E-2</v>
      </c>
      <c r="D45" s="152">
        <f>G32</f>
        <v>2.8000000000000001E-2</v>
      </c>
      <c r="E45" s="152">
        <f>IF(D45&gt;C45,D45-C45,0)</f>
        <v>2.0000000000000018E-3</v>
      </c>
      <c r="F45" s="153">
        <f>E45*'Annahmen Hedging mit Caps'!$D$14</f>
        <v>2000.0000000000018</v>
      </c>
    </row>
    <row r="46" spans="1:8">
      <c r="B46" s="254" t="s">
        <v>73</v>
      </c>
      <c r="C46" s="154">
        <f>'Annahmen Hedging mit Caps'!D11</f>
        <v>2.5999999999999999E-2</v>
      </c>
      <c r="D46" s="154">
        <f>H32</f>
        <v>3.1E-2</v>
      </c>
      <c r="E46" s="152">
        <f>IF(D46&gt;C46,D46-C46,0)</f>
        <v>5.000000000000001E-3</v>
      </c>
      <c r="F46" s="155">
        <f>E46*'Annahmen Hedging mit Caps'!$D$14</f>
        <v>5000.0000000000009</v>
      </c>
    </row>
    <row r="49" spans="1:16" s="83" customFormat="1" ht="14.25">
      <c r="A49" s="5"/>
      <c r="B49" s="5"/>
      <c r="C49" s="5"/>
      <c r="D49" s="5"/>
      <c r="E49" s="5"/>
      <c r="F49" s="5"/>
      <c r="G49" s="5"/>
    </row>
    <row r="50" spans="1:16" s="83" customFormat="1" ht="14.25">
      <c r="A50" s="5"/>
      <c r="B50" s="90" t="s">
        <v>146</v>
      </c>
      <c r="C50" s="149"/>
      <c r="D50" s="149"/>
      <c r="E50" s="149"/>
      <c r="F50" s="90"/>
      <c r="G50" s="150"/>
    </row>
    <row r="52" spans="1:16" ht="48" customHeight="1">
      <c r="B52" s="233" t="s">
        <v>151</v>
      </c>
      <c r="C52" s="159" t="s">
        <v>140</v>
      </c>
      <c r="D52" s="156" t="s">
        <v>121</v>
      </c>
      <c r="E52" s="159" t="s">
        <v>123</v>
      </c>
      <c r="F52" s="159" t="s">
        <v>122</v>
      </c>
      <c r="G52" s="160" t="s">
        <v>124</v>
      </c>
    </row>
    <row r="53" spans="1:16">
      <c r="B53" s="147" t="s">
        <v>70</v>
      </c>
      <c r="C53" s="152">
        <f>D33</f>
        <v>2.4096385542168586E-2</v>
      </c>
      <c r="D53" s="157">
        <f>C43</f>
        <v>2.5999999999999999E-2</v>
      </c>
      <c r="E53" s="152">
        <f>IF(C53&lt;D53,0,C53-D53)</f>
        <v>0</v>
      </c>
      <c r="F53" s="227">
        <f>E53*'Annahmen Hedging mit Caps'!$D$14</f>
        <v>0</v>
      </c>
      <c r="G53" s="228">
        <f>F53*E14</f>
        <v>0</v>
      </c>
    </row>
    <row r="54" spans="1:16">
      <c r="B54" s="147" t="s">
        <v>71</v>
      </c>
      <c r="C54" s="152">
        <f>D34</f>
        <v>3.5479552093476106E-2</v>
      </c>
      <c r="D54" s="157">
        <f>C44</f>
        <v>2.5999999999999999E-2</v>
      </c>
      <c r="E54" s="152">
        <f t="shared" ref="E54:E56" si="0">IF(C54&lt;D54,0,C54-D54)</f>
        <v>9.4795520934761075E-3</v>
      </c>
      <c r="F54" s="227">
        <f>E54*'Annahmen Hedging mit Caps'!$D$14</f>
        <v>9479.552093476108</v>
      </c>
      <c r="G54" s="228">
        <f>F54*F14</f>
        <v>8798.5630203684759</v>
      </c>
      <c r="I54" s="146"/>
    </row>
    <row r="55" spans="1:16">
      <c r="B55" s="147" t="s">
        <v>72</v>
      </c>
      <c r="C55" s="152">
        <f>D35</f>
        <v>3.763729634978822E-2</v>
      </c>
      <c r="D55" s="157">
        <f>C45</f>
        <v>2.5999999999999999E-2</v>
      </c>
      <c r="E55" s="152">
        <f t="shared" si="0"/>
        <v>1.1637296349788221E-2</v>
      </c>
      <c r="F55" s="227">
        <f>E55*'Annahmen Hedging mit Caps'!$D$14</f>
        <v>11637.296349788221</v>
      </c>
      <c r="G55" s="228">
        <f>F55*G14</f>
        <v>10409.513963521604</v>
      </c>
      <c r="I55" s="146"/>
    </row>
    <row r="56" spans="1:16">
      <c r="B56" s="254" t="s">
        <v>73</v>
      </c>
      <c r="C56" s="154">
        <f>D36</f>
        <v>4.4195811922471885E-2</v>
      </c>
      <c r="D56" s="158">
        <f>C46</f>
        <v>2.5999999999999999E-2</v>
      </c>
      <c r="E56" s="154">
        <f t="shared" si="0"/>
        <v>1.8195811922471886E-2</v>
      </c>
      <c r="F56" s="229">
        <f>E56*'Annahmen Hedging mit Caps'!$D$14</f>
        <v>18195.811922471887</v>
      </c>
      <c r="G56" s="230">
        <f>F56*H14</f>
        <v>15587.190754005669</v>
      </c>
    </row>
    <row r="59" spans="1:16" s="83" customFormat="1" ht="14.25">
      <c r="A59" s="5"/>
      <c r="B59" s="5"/>
      <c r="C59" s="5"/>
      <c r="D59" s="5"/>
      <c r="E59" s="5"/>
      <c r="F59" s="5"/>
      <c r="G59" s="5"/>
      <c r="H59" s="7"/>
    </row>
    <row r="60" spans="1:16" s="83" customFormat="1" ht="14.25">
      <c r="A60" s="5"/>
      <c r="B60" s="90" t="s">
        <v>147</v>
      </c>
      <c r="C60" s="149"/>
      <c r="D60" s="149"/>
      <c r="E60" s="149"/>
      <c r="F60" s="90"/>
      <c r="G60" s="149"/>
      <c r="H60" s="149"/>
      <c r="I60" s="149"/>
      <c r="J60" s="149"/>
      <c r="K60" s="149"/>
      <c r="L60" s="149"/>
      <c r="M60" s="149"/>
      <c r="N60" s="149"/>
      <c r="O60" s="149"/>
      <c r="P60" s="150"/>
    </row>
    <row r="62" spans="1:16" ht="65" customHeight="1">
      <c r="B62" s="33" t="s">
        <v>127</v>
      </c>
      <c r="C62" s="142" t="s">
        <v>152</v>
      </c>
      <c r="D62" s="142" t="s">
        <v>153</v>
      </c>
      <c r="E62" s="142" t="s">
        <v>154</v>
      </c>
      <c r="F62" s="33" t="s">
        <v>121</v>
      </c>
      <c r="G62" s="142" t="s">
        <v>123</v>
      </c>
      <c r="H62" s="161"/>
      <c r="I62" s="176" t="s">
        <v>128</v>
      </c>
      <c r="J62" s="176" t="s">
        <v>129</v>
      </c>
      <c r="K62" s="176" t="s">
        <v>130</v>
      </c>
      <c r="L62" s="176" t="s">
        <v>131</v>
      </c>
      <c r="M62" s="176" t="s">
        <v>132</v>
      </c>
      <c r="N62" s="177" t="s">
        <v>139</v>
      </c>
      <c r="O62" s="178" t="s">
        <v>137</v>
      </c>
      <c r="P62" s="177" t="s">
        <v>138</v>
      </c>
    </row>
    <row r="63" spans="1:16">
      <c r="B63" s="147">
        <f>'Annahmen Hedging mit Caps'!B25</f>
        <v>0</v>
      </c>
      <c r="C63" s="210">
        <f>'Annahmen Hedging mit Caps'!C25</f>
        <v>1</v>
      </c>
      <c r="D63" s="210">
        <f>'Annahmen Hedging mit Caps'!D25</f>
        <v>2</v>
      </c>
      <c r="E63" s="163">
        <f>D33</f>
        <v>2.4096385542168586E-2</v>
      </c>
      <c r="F63" s="164">
        <f>C43</f>
        <v>2.5999999999999999E-2</v>
      </c>
      <c r="G63" s="163">
        <f>IF(E63&lt;F63,0,E63-F63)</f>
        <v>0</v>
      </c>
      <c r="H63" s="165"/>
      <c r="I63" s="166">
        <f>IF(L63&lt;&gt;0,NORMSDIST(L63),0)</f>
        <v>0.38967222469124208</v>
      </c>
      <c r="J63" s="166">
        <f t="shared" ref="J63:J66" si="1">IF(M63&lt;&gt;0,NORMSDIST(M63),0)</f>
        <v>0.31555203858593217</v>
      </c>
      <c r="K63" s="163">
        <f>'Annahmen Hedging mit Caps'!E25</f>
        <v>0.2</v>
      </c>
      <c r="L63" s="167">
        <f>IF(C63&lt;&gt;0,(LN(E63/F63)+(K63^2)*C63/2)/(K63*SQRT(C63)),0)</f>
        <v>-0.28017343138000628</v>
      </c>
      <c r="M63" s="166">
        <f t="shared" ref="M63:M66" si="2">IF(C63&lt;&gt;-1,L63-K63*SQRT(C63),0)</f>
        <v>-0.48017343138000629</v>
      </c>
      <c r="N63" s="214">
        <f>IF(C63=0,O63,IF(D63&lt;&gt;-1,'Annahmen Hedging mit Caps'!D14*E14*(E63*I63-F63*J63),0))</f>
        <v>1139.2212843219042</v>
      </c>
      <c r="O63" s="182">
        <f>G53</f>
        <v>0</v>
      </c>
      <c r="P63" s="181">
        <f>N63-O63</f>
        <v>1139.2212843219042</v>
      </c>
    </row>
    <row r="64" spans="1:16">
      <c r="B64" s="147">
        <f>'Annahmen Hedging mit Caps'!B26</f>
        <v>1</v>
      </c>
      <c r="C64" s="211">
        <f>'Annahmen Hedging mit Caps'!C26</f>
        <v>2</v>
      </c>
      <c r="D64" s="211">
        <f>'Annahmen Hedging mit Caps'!D26</f>
        <v>3</v>
      </c>
      <c r="E64" s="152">
        <f>D34</f>
        <v>3.5479552093476106E-2</v>
      </c>
      <c r="F64" s="157">
        <f>C44</f>
        <v>2.5999999999999999E-2</v>
      </c>
      <c r="G64" s="152">
        <f t="shared" ref="G64:G66" si="3">IF(E64&lt;F64,0,E64-F64)</f>
        <v>9.4795520934761075E-3</v>
      </c>
      <c r="H64" s="169"/>
      <c r="I64" s="170">
        <f>IF(L64&lt;&gt;0,NORMSDIST(L64),0)</f>
        <v>0.89260056752770256</v>
      </c>
      <c r="J64" s="170">
        <f t="shared" si="1"/>
        <v>0.83087650158376081</v>
      </c>
      <c r="K64" s="152">
        <f>'Annahmen Hedging mit Caps'!E26</f>
        <v>0.2</v>
      </c>
      <c r="L64" s="171">
        <f>IF(C64&lt;&gt;-1,(LN(E64/F64)+(K64^2/2)*C64)/(K64*SQRT(C64)),0)</f>
        <v>1.2404774090627895</v>
      </c>
      <c r="M64" s="170">
        <f t="shared" si="2"/>
        <v>0.95763469658817035</v>
      </c>
      <c r="N64" s="215">
        <f>IF(C64=0,O64,IF(D64&lt;&gt;-1,'Annahmen Hedging mit Caps'!D14*F14*(E64*I64-F64*J64),0))</f>
        <v>9343.1410964887036</v>
      </c>
      <c r="O64" s="184">
        <f>G54</f>
        <v>8798.5630203684759</v>
      </c>
      <c r="P64" s="183">
        <f>N64-O64</f>
        <v>544.57807612022771</v>
      </c>
    </row>
    <row r="65" spans="2:18">
      <c r="B65" s="147">
        <f>'Annahmen Hedging mit Caps'!B27</f>
        <v>2</v>
      </c>
      <c r="C65" s="211">
        <f>'Annahmen Hedging mit Caps'!C27</f>
        <v>3</v>
      </c>
      <c r="D65" s="211">
        <f>'Annahmen Hedging mit Caps'!D27</f>
        <v>4</v>
      </c>
      <c r="E65" s="152">
        <f>D35</f>
        <v>3.763729634978822E-2</v>
      </c>
      <c r="F65" s="157">
        <f>C45</f>
        <v>2.5999999999999999E-2</v>
      </c>
      <c r="G65" s="152">
        <f t="shared" si="3"/>
        <v>1.1637296349788221E-2</v>
      </c>
      <c r="H65" s="169"/>
      <c r="I65" s="170">
        <f>IF(L65&lt;&gt;0,NORMSDIST(L65),0)</f>
        <v>0.89269922344671981</v>
      </c>
      <c r="J65" s="170">
        <f t="shared" si="1"/>
        <v>0.81449984397193553</v>
      </c>
      <c r="K65" s="152">
        <f>'Annahmen Hedging mit Caps'!E27</f>
        <v>0.2</v>
      </c>
      <c r="L65" s="171">
        <f t="shared" ref="L65:L66" si="4">IF(C65&lt;&gt;-1,(LN(E65/F65)+(K65^2/2)*C65)/(K65*SQRT(C65)),0)</f>
        <v>1.2410113579247342</v>
      </c>
      <c r="M65" s="170">
        <f t="shared" si="2"/>
        <v>0.8946011964109587</v>
      </c>
      <c r="N65" s="215">
        <f>IF(C65=0,O65,IF(D65&lt;&gt;-1,'Annahmen Hedging mit Caps'!D14*G14*(E65*I65-F65*J65),0))</f>
        <v>11111.239680079869</v>
      </c>
      <c r="O65" s="184">
        <f>G55</f>
        <v>10409.513963521604</v>
      </c>
      <c r="P65" s="183">
        <f>N65-O65</f>
        <v>701.72571655826505</v>
      </c>
      <c r="R65" s="146"/>
    </row>
    <row r="66" spans="2:18">
      <c r="B66" s="254">
        <f>'Annahmen Hedging mit Caps'!B28</f>
        <v>3</v>
      </c>
      <c r="C66" s="212">
        <f>'Annahmen Hedging mit Caps'!C28</f>
        <v>4</v>
      </c>
      <c r="D66" s="212">
        <f>'Annahmen Hedging mit Caps'!D28</f>
        <v>5</v>
      </c>
      <c r="E66" s="154">
        <f>D36</f>
        <v>4.4195811922471885E-2</v>
      </c>
      <c r="F66" s="158">
        <f>C46</f>
        <v>2.5999999999999999E-2</v>
      </c>
      <c r="G66" s="154">
        <f t="shared" si="3"/>
        <v>1.8195811922471886E-2</v>
      </c>
      <c r="H66" s="173"/>
      <c r="I66" s="174">
        <f>IF(L66&lt;&gt;0,NORMSDIST(L66),0)</f>
        <v>0.93653661427177315</v>
      </c>
      <c r="J66" s="174">
        <f t="shared" si="1"/>
        <v>0.86998785801409517</v>
      </c>
      <c r="K66" s="154">
        <f>'Annahmen Hedging mit Caps'!E28</f>
        <v>0.2</v>
      </c>
      <c r="L66" s="175">
        <f t="shared" si="4"/>
        <v>1.526333734218952</v>
      </c>
      <c r="M66" s="174">
        <f t="shared" si="2"/>
        <v>1.1263337342189521</v>
      </c>
      <c r="N66" s="216">
        <f>IF(C66=0,O66,IF(D66&lt;&gt;-1,'Annahmen Hedging mit Caps'!D14*H14*(E66*I66-F66*J66),0))</f>
        <v>16080.18472970189</v>
      </c>
      <c r="O66" s="186">
        <f>G56</f>
        <v>15587.190754005669</v>
      </c>
      <c r="P66" s="185">
        <f>N66-O66</f>
        <v>492.99397569622124</v>
      </c>
      <c r="R66" s="146"/>
    </row>
    <row r="67" spans="2:18">
      <c r="F67" s="145"/>
      <c r="G67" s="143"/>
      <c r="P67" s="148"/>
      <c r="Q67" s="144"/>
    </row>
    <row r="68" spans="2:18">
      <c r="K68" s="141"/>
      <c r="L68" s="141" t="s">
        <v>133</v>
      </c>
      <c r="M68" s="141"/>
      <c r="N68" s="180">
        <f>SUM(N63:N66)</f>
        <v>37673.786790592363</v>
      </c>
      <c r="O68" s="179">
        <f t="shared" ref="O68:P68" si="5">SUM(O63:O66)</f>
        <v>34795.267737895752</v>
      </c>
      <c r="P68" s="180">
        <f t="shared" si="5"/>
        <v>2878.519052696618</v>
      </c>
    </row>
    <row r="95" spans="3:3">
      <c r="C95" t="e">
        <f>((1+C92)^C88/(1+C93)^C89)^(1/C90)-1</f>
        <v>#DIV/0!</v>
      </c>
    </row>
  </sheetData>
  <mergeCells count="2">
    <mergeCell ref="B32:B36"/>
    <mergeCell ref="B14:B18"/>
  </mergeCells>
  <conditionalFormatting sqref="P64:P66 H63:J66 L63:O66">
    <cfRule type="cellIs" dxfId="1" priority="1" stopIfTrue="1" operator="equal">
      <formula>0</formula>
    </cfRule>
  </conditionalFormatting>
  <conditionalFormatting sqref="P63">
    <cfRule type="cellIs" dxfId="0" priority="2" stopIfTrue="1" operator="equal">
      <formula>-1</formula>
    </cfRule>
  </conditionalFormatting>
  <pageMargins left="0.7" right="0.7" top="0.78740157499999996" bottom="0.78740157499999996" header="0.3" footer="0.3"/>
  <ignoredErrors>
    <ignoredError sqref="K63:K66" unlocked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Annahmen Geldmarktfuture, FRA</vt:lpstr>
      <vt:lpstr>Hedging m. Geldmarktfuture, FRA</vt:lpstr>
      <vt:lpstr>Annahmen Zinsswaps</vt:lpstr>
      <vt:lpstr>Hedging mit Zinsswaps</vt:lpstr>
      <vt:lpstr>Annahmen Hedging mit Caps</vt:lpstr>
      <vt:lpstr>Hedging mit Caps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Ernst, Dietmar</cp:lastModifiedBy>
  <dcterms:created xsi:type="dcterms:W3CDTF">2020-11-03T14:58:16Z</dcterms:created>
  <dcterms:modified xsi:type="dcterms:W3CDTF">2021-05-05T13:18:29Z</dcterms:modified>
</cp:coreProperties>
</file>