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8.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2.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3.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18.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19.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0.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1.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2.xml" ContentType="application/vnd.openxmlformats-officedocument.drawing+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23.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24.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25.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26.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27.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28.xml" ContentType="application/vnd.openxmlformats-officedocument.drawing+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29.xml" ContentType="application/vnd.openxmlformats-officedocument.drawing+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30.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31.xml" ContentType="application/vnd.openxmlformats-officedocument.drawing+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32.xml" ContentType="application/vnd.openxmlformats-officedocument.drawing+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33.xml" ContentType="application/vnd.openxmlformats-officedocument.drawing+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34.xml" ContentType="application/vnd.openxmlformats-officedocument.drawing+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35.xml" ContentType="application/vnd.openxmlformats-officedocument.drawing+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jhaecker\Dropbox\(2) Engineer\(1) Case Study\Derivate\1. Buch\"/>
    </mc:Choice>
  </mc:AlternateContent>
  <xr:revisionPtr revIDLastSave="0" documentId="13_ncr:1_{2AE3C93E-85F8-4BDF-97CF-6745F977D995}" xr6:coauthVersionLast="47" xr6:coauthVersionMax="47" xr10:uidLastSave="{00000000-0000-0000-0000-000000000000}"/>
  <bookViews>
    <workbookView xWindow="-98" yWindow="-98" windowWidth="24496" windowHeight="15796" tabRatio="875" activeTab="2" xr2:uid="{00000000-000D-0000-FFFF-FFFF00000000}"/>
  </bookViews>
  <sheets>
    <sheet name="Input" sheetId="85" r:id="rId1"/>
    <sheet name="Ableitung Optionspreise" sheetId="10" r:id="rId2"/>
    <sheet name="3" sheetId="46" r:id="rId3"/>
    <sheet name="4" sheetId="47" r:id="rId4"/>
    <sheet name="5" sheetId="48" r:id="rId5"/>
    <sheet name="6" sheetId="49" r:id="rId6"/>
    <sheet name="8-9" sheetId="11" r:id="rId7"/>
    <sheet name="10-11" sheetId="15" r:id="rId8"/>
    <sheet name="12-13" sheetId="16" r:id="rId9"/>
    <sheet name="14-15" sheetId="13" r:id="rId10"/>
    <sheet name="16-17" sheetId="14" r:id="rId11"/>
    <sheet name="18-19" sheetId="12" r:id="rId12"/>
    <sheet name="20" sheetId="17" r:id="rId13"/>
    <sheet name="21" sheetId="18" r:id="rId14"/>
    <sheet name="22" sheetId="19" r:id="rId15"/>
    <sheet name="23" sheetId="20" r:id="rId16"/>
    <sheet name="24" sheetId="21" r:id="rId17"/>
    <sheet name="25" sheetId="23" r:id="rId18"/>
    <sheet name="26" sheetId="24" r:id="rId19"/>
    <sheet name="27" sheetId="25" r:id="rId20"/>
    <sheet name="28" sheetId="26" r:id="rId21"/>
    <sheet name="29" sheetId="27" r:id="rId22"/>
    <sheet name="30" sheetId="28" r:id="rId23"/>
    <sheet name="31" sheetId="29" r:id="rId24"/>
    <sheet name="32" sheetId="30" r:id="rId25"/>
    <sheet name="33" sheetId="31" r:id="rId26"/>
    <sheet name="34" sheetId="32" r:id="rId27"/>
    <sheet name="35" sheetId="33" r:id="rId28"/>
    <sheet name="36" sheetId="34" r:id="rId29"/>
    <sheet name="37" sheetId="35" r:id="rId30"/>
    <sheet name="38" sheetId="36" r:id="rId31"/>
    <sheet name="39" sheetId="37" r:id="rId32"/>
    <sheet name="40" sheetId="38" r:id="rId33"/>
    <sheet name="41" sheetId="39" r:id="rId34"/>
    <sheet name="42" sheetId="40" r:id="rId35"/>
    <sheet name="43 Grund, Bullish und Bearish" sheetId="75" r:id="rId36"/>
    <sheet name="44 Überblick" sheetId="76" r:id="rId37"/>
    <sheet name="45 Neutral " sheetId="77" r:id="rId38"/>
    <sheet name="46 Überblick" sheetId="78" r:id="rId39"/>
    <sheet name="47-51" sheetId="86" r:id="rId40"/>
    <sheet name="53-60" sheetId="84" r:id="rId41"/>
  </sheets>
  <externalReferences>
    <externalReference r:id="rId42"/>
  </externalReferenc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86" l="1"/>
  <c r="E19" i="86" s="1"/>
  <c r="E21" i="86" s="1"/>
  <c r="E14" i="75"/>
  <c r="C16" i="31"/>
  <c r="C13" i="31"/>
  <c r="C10" i="23" l="1"/>
  <c r="C7" i="23"/>
  <c r="C8" i="10"/>
  <c r="E5" i="77" l="1"/>
  <c r="F5" i="77"/>
  <c r="E6" i="77"/>
  <c r="F6" i="77"/>
  <c r="E7" i="77"/>
  <c r="F7" i="77"/>
  <c r="E8" i="77"/>
  <c r="F8" i="77"/>
  <c r="F4" i="77"/>
  <c r="E4" i="77"/>
  <c r="F5" i="75"/>
  <c r="F6" i="75"/>
  <c r="F7" i="75"/>
  <c r="F8" i="75"/>
  <c r="F4" i="75"/>
  <c r="E5" i="75"/>
  <c r="E6" i="75"/>
  <c r="E7" i="75"/>
  <c r="E8" i="75"/>
  <c r="E4" i="75"/>
  <c r="C7" i="84" l="1"/>
  <c r="C61" i="84"/>
  <c r="C52" i="84"/>
  <c r="C43" i="84"/>
  <c r="C44" i="84"/>
  <c r="C45" i="84"/>
  <c r="C46" i="84"/>
  <c r="C42" i="84"/>
  <c r="C115" i="84"/>
  <c r="C80" i="84"/>
  <c r="C78" i="84"/>
  <c r="C77" i="84"/>
  <c r="C75" i="84"/>
  <c r="B108" i="84"/>
  <c r="C71" i="84"/>
  <c r="C72" i="84"/>
  <c r="B83" i="84"/>
  <c r="B14" i="77"/>
  <c r="C6" i="49"/>
  <c r="C6" i="48"/>
  <c r="C6" i="46"/>
  <c r="B14" i="75"/>
  <c r="C11" i="40"/>
  <c r="C8" i="40"/>
  <c r="C9" i="40"/>
  <c r="C6" i="40"/>
  <c r="B20" i="40"/>
  <c r="C11" i="39"/>
  <c r="C8" i="39"/>
  <c r="C9" i="39"/>
  <c r="C6" i="39"/>
  <c r="B20" i="39"/>
  <c r="C11" i="38"/>
  <c r="C8" i="38"/>
  <c r="C9" i="38"/>
  <c r="C6" i="38"/>
  <c r="B20" i="38"/>
  <c r="C11" i="37"/>
  <c r="C8" i="37"/>
  <c r="C9" i="37"/>
  <c r="C6" i="37"/>
  <c r="B20" i="37"/>
  <c r="C11" i="36"/>
  <c r="C8" i="36"/>
  <c r="C9" i="36"/>
  <c r="C6" i="36"/>
  <c r="B20" i="36"/>
  <c r="C14" i="35"/>
  <c r="C11" i="35"/>
  <c r="C8" i="35"/>
  <c r="C12" i="35"/>
  <c r="C9" i="35"/>
  <c r="C6" i="35"/>
  <c r="B20" i="35"/>
  <c r="C14" i="34"/>
  <c r="C11" i="34"/>
  <c r="C8" i="34"/>
  <c r="C12" i="34"/>
  <c r="C9" i="34"/>
  <c r="C6" i="34"/>
  <c r="B20" i="34"/>
  <c r="C14" i="33"/>
  <c r="C11" i="33"/>
  <c r="C8" i="33"/>
  <c r="C12" i="33"/>
  <c r="C9" i="33"/>
  <c r="C6" i="33"/>
  <c r="B20" i="33"/>
  <c r="C14" i="32"/>
  <c r="C11" i="32"/>
  <c r="C8" i="32"/>
  <c r="C12" i="32"/>
  <c r="C9" i="32"/>
  <c r="C6" i="32"/>
  <c r="B20" i="32"/>
  <c r="C17" i="31"/>
  <c r="C14" i="31"/>
  <c r="C11" i="31"/>
  <c r="C8" i="31"/>
  <c r="C15" i="31"/>
  <c r="C12" i="31"/>
  <c r="C9" i="31"/>
  <c r="C6" i="31"/>
  <c r="B20" i="31"/>
  <c r="C11" i="30"/>
  <c r="C8" i="30"/>
  <c r="C9" i="30"/>
  <c r="C6" i="30"/>
  <c r="B20" i="30"/>
  <c r="C11" i="29"/>
  <c r="C8" i="29"/>
  <c r="C9" i="29"/>
  <c r="C6" i="29"/>
  <c r="B20" i="29"/>
  <c r="C11" i="28"/>
  <c r="C8" i="28"/>
  <c r="C9" i="28"/>
  <c r="C6" i="28"/>
  <c r="B20" i="28"/>
  <c r="C14" i="27"/>
  <c r="C11" i="27"/>
  <c r="C8" i="27"/>
  <c r="C12" i="27"/>
  <c r="C9" i="27"/>
  <c r="C6" i="27"/>
  <c r="B20" i="27"/>
  <c r="C14" i="26"/>
  <c r="C11" i="26"/>
  <c r="C8" i="26"/>
  <c r="C12" i="26"/>
  <c r="C9" i="26"/>
  <c r="C6" i="26"/>
  <c r="B20" i="26"/>
  <c r="C14" i="25"/>
  <c r="C11" i="25"/>
  <c r="C8" i="25"/>
  <c r="C12" i="25"/>
  <c r="C9" i="25"/>
  <c r="C6" i="25"/>
  <c r="B20" i="25"/>
  <c r="C14" i="24"/>
  <c r="C12" i="24"/>
  <c r="C11" i="24"/>
  <c r="C9" i="24"/>
  <c r="C8" i="24"/>
  <c r="C6" i="24"/>
  <c r="B20" i="24"/>
  <c r="C17" i="23"/>
  <c r="C14" i="23"/>
  <c r="C11" i="23"/>
  <c r="C8" i="23"/>
  <c r="C15" i="23"/>
  <c r="C12" i="23"/>
  <c r="C9" i="23"/>
  <c r="C6" i="23"/>
  <c r="B20" i="23"/>
  <c r="C10" i="21"/>
  <c r="C7" i="21"/>
  <c r="C8" i="21"/>
  <c r="C6" i="21"/>
  <c r="B20" i="21"/>
  <c r="C11" i="20"/>
  <c r="C8" i="20"/>
  <c r="C9" i="20"/>
  <c r="C6" i="20"/>
  <c r="B20" i="20"/>
  <c r="C11" i="19"/>
  <c r="C8" i="19"/>
  <c r="C9" i="19"/>
  <c r="C6" i="19"/>
  <c r="B20" i="19"/>
  <c r="C11" i="18"/>
  <c r="C9" i="18"/>
  <c r="C8" i="18"/>
  <c r="C6" i="18"/>
  <c r="B20" i="18"/>
  <c r="C10" i="17"/>
  <c r="C8" i="17"/>
  <c r="C7" i="17"/>
  <c r="C6" i="17"/>
  <c r="B20" i="17"/>
  <c r="S9" i="12"/>
  <c r="S11" i="12"/>
  <c r="P8" i="12"/>
  <c r="P6" i="12"/>
  <c r="C11" i="12"/>
  <c r="C8" i="12"/>
  <c r="C9" i="12"/>
  <c r="C6" i="12"/>
  <c r="R20" i="12"/>
  <c r="O20" i="12"/>
  <c r="B20" i="12"/>
  <c r="R20" i="14"/>
  <c r="O20" i="14"/>
  <c r="B20" i="14"/>
  <c r="C11" i="14"/>
  <c r="C8" i="14"/>
  <c r="C9" i="14"/>
  <c r="C6" i="14"/>
  <c r="S8" i="14"/>
  <c r="P11" i="14"/>
  <c r="S10" i="13"/>
  <c r="P10" i="13"/>
  <c r="S7" i="13"/>
  <c r="P7" i="13"/>
  <c r="C11" i="13"/>
  <c r="C9" i="13"/>
  <c r="C8" i="13"/>
  <c r="C6" i="13"/>
  <c r="R20" i="13" l="1"/>
  <c r="O20" i="13"/>
  <c r="B20" i="13"/>
  <c r="C13" i="16"/>
  <c r="C11" i="16"/>
  <c r="C10" i="16"/>
  <c r="C8" i="16"/>
  <c r="C7" i="16"/>
  <c r="C6" i="16"/>
  <c r="V10" i="16"/>
  <c r="S10" i="16"/>
  <c r="V7" i="16"/>
  <c r="S7" i="16"/>
  <c r="P7" i="16"/>
  <c r="U20" i="16"/>
  <c r="R20" i="16"/>
  <c r="O20" i="16"/>
  <c r="B20" i="16"/>
  <c r="X20" i="15"/>
  <c r="R20" i="15"/>
  <c r="S20" i="11"/>
  <c r="C6" i="85"/>
  <c r="O21" i="11" s="1"/>
  <c r="O20" i="11"/>
  <c r="O20" i="15"/>
  <c r="B20" i="15"/>
  <c r="Y10" i="15"/>
  <c r="Y7" i="15"/>
  <c r="S7" i="15"/>
  <c r="P10" i="15"/>
  <c r="P7" i="15"/>
  <c r="C10" i="15"/>
  <c r="C8" i="15"/>
  <c r="C7" i="15"/>
  <c r="C6" i="15"/>
  <c r="B20" i="11"/>
  <c r="T10" i="11"/>
  <c r="P10" i="11"/>
  <c r="T7" i="11"/>
  <c r="P7" i="11"/>
  <c r="C10" i="11"/>
  <c r="C8" i="11"/>
  <c r="C7" i="11"/>
  <c r="C6" i="11"/>
  <c r="C6" i="47"/>
  <c r="L12" i="10"/>
  <c r="L11" i="10"/>
  <c r="L10" i="10"/>
  <c r="L9" i="10"/>
  <c r="L8" i="10"/>
  <c r="L7" i="10"/>
  <c r="H12" i="10"/>
  <c r="H11" i="10"/>
  <c r="H10" i="10"/>
  <c r="H9" i="10"/>
  <c r="H8" i="10"/>
  <c r="H7" i="10"/>
  <c r="C10" i="10"/>
  <c r="C11" i="10"/>
  <c r="C12" i="10"/>
  <c r="C9" i="10"/>
  <c r="C7" i="10"/>
  <c r="B20" i="49"/>
  <c r="D20" i="49" s="1"/>
  <c r="B20" i="48"/>
  <c r="D20" i="48" s="1"/>
  <c r="B20" i="47"/>
  <c r="D20" i="47" s="1"/>
  <c r="R21" i="16" l="1"/>
  <c r="B21" i="37"/>
  <c r="B21" i="36"/>
  <c r="B21" i="24"/>
  <c r="B21" i="33"/>
  <c r="B21" i="31"/>
  <c r="B84" i="84"/>
  <c r="B21" i="30"/>
  <c r="B21" i="26"/>
  <c r="B15" i="77"/>
  <c r="B15" i="75"/>
  <c r="B21" i="35"/>
  <c r="B21" i="29"/>
  <c r="B21" i="40"/>
  <c r="B21" i="32"/>
  <c r="B21" i="25"/>
  <c r="B21" i="38"/>
  <c r="B21" i="39"/>
  <c r="B21" i="34"/>
  <c r="B21" i="27"/>
  <c r="B21" i="28"/>
  <c r="B21" i="11"/>
  <c r="C7" i="85"/>
  <c r="O22" i="13" s="1"/>
  <c r="B21" i="15"/>
  <c r="B21" i="13"/>
  <c r="X21" i="15"/>
  <c r="R21" i="15"/>
  <c r="U21" i="16"/>
  <c r="O21" i="13"/>
  <c r="O21" i="15"/>
  <c r="B21" i="16"/>
  <c r="S21" i="11"/>
  <c r="B21" i="20"/>
  <c r="B21" i="17"/>
  <c r="R21" i="14"/>
  <c r="R21" i="12"/>
  <c r="O21" i="12"/>
  <c r="B21" i="23"/>
  <c r="B21" i="19"/>
  <c r="B21" i="14"/>
  <c r="B21" i="12"/>
  <c r="O21" i="14"/>
  <c r="B21" i="21"/>
  <c r="B21" i="18"/>
  <c r="R21" i="13"/>
  <c r="O21" i="16"/>
  <c r="B21" i="49"/>
  <c r="D21" i="49" s="1"/>
  <c r="B21" i="48"/>
  <c r="D21" i="48" s="1"/>
  <c r="B21" i="47"/>
  <c r="D21" i="47" s="1"/>
  <c r="B21" i="46"/>
  <c r="D21" i="46" s="1"/>
  <c r="B20" i="46"/>
  <c r="D20" i="46" s="1"/>
  <c r="R22" i="15" l="1"/>
  <c r="B22" i="49"/>
  <c r="D22" i="49" s="1"/>
  <c r="X22" i="15"/>
  <c r="O22" i="12"/>
  <c r="B22" i="46"/>
  <c r="D22" i="46" s="1"/>
  <c r="B22" i="18"/>
  <c r="C8" i="85"/>
  <c r="B23" i="36" s="1"/>
  <c r="O22" i="16"/>
  <c r="B22" i="15"/>
  <c r="B22" i="23"/>
  <c r="B22" i="48"/>
  <c r="D22" i="48" s="1"/>
  <c r="S22" i="11"/>
  <c r="R22" i="12"/>
  <c r="O22" i="11"/>
  <c r="R22" i="16"/>
  <c r="O22" i="14"/>
  <c r="B22" i="47"/>
  <c r="D22" i="47" s="1"/>
  <c r="B22" i="19"/>
  <c r="O22" i="15"/>
  <c r="R22" i="14"/>
  <c r="B22" i="14"/>
  <c r="B22" i="11"/>
  <c r="B22" i="21"/>
  <c r="B22" i="17"/>
  <c r="B22" i="13"/>
  <c r="B22" i="12"/>
  <c r="B22" i="20"/>
  <c r="B22" i="16"/>
  <c r="B22" i="38"/>
  <c r="B22" i="34"/>
  <c r="B22" i="37"/>
  <c r="B22" i="27"/>
  <c r="B16" i="77"/>
  <c r="B22" i="35"/>
  <c r="B22" i="36"/>
  <c r="B22" i="24"/>
  <c r="B22" i="33"/>
  <c r="B22" i="31"/>
  <c r="B16" i="75"/>
  <c r="B85" i="84"/>
  <c r="B22" i="30"/>
  <c r="B22" i="26"/>
  <c r="B22" i="25"/>
  <c r="B22" i="32"/>
  <c r="B22" i="40"/>
  <c r="B22" i="29"/>
  <c r="B22" i="39"/>
  <c r="B22" i="28"/>
  <c r="R22" i="13"/>
  <c r="U22" i="16"/>
  <c r="B50" i="85"/>
  <c r="R23" i="13" l="1"/>
  <c r="C9" i="85"/>
  <c r="B24" i="40" s="1"/>
  <c r="R23" i="12"/>
  <c r="B23" i="25"/>
  <c r="B23" i="11"/>
  <c r="B86" i="84"/>
  <c r="S23" i="11"/>
  <c r="B23" i="31"/>
  <c r="B23" i="21"/>
  <c r="B23" i="33"/>
  <c r="R23" i="16"/>
  <c r="B23" i="14"/>
  <c r="B23" i="20"/>
  <c r="B23" i="29"/>
  <c r="B23" i="24"/>
  <c r="O23" i="13"/>
  <c r="B23" i="35"/>
  <c r="B23" i="39"/>
  <c r="O23" i="16"/>
  <c r="B17" i="77"/>
  <c r="X23" i="15"/>
  <c r="B23" i="19"/>
  <c r="O23" i="14"/>
  <c r="B23" i="32"/>
  <c r="B23" i="27"/>
  <c r="O23" i="12"/>
  <c r="B23" i="12"/>
  <c r="B23" i="13"/>
  <c r="B23" i="23"/>
  <c r="B23" i="18"/>
  <c r="B23" i="26"/>
  <c r="B23" i="37"/>
  <c r="B23" i="16"/>
  <c r="R23" i="15"/>
  <c r="R23" i="14"/>
  <c r="B23" i="47"/>
  <c r="D23" i="47" s="1"/>
  <c r="B23" i="28"/>
  <c r="B23" i="34"/>
  <c r="O23" i="15"/>
  <c r="U23" i="16"/>
  <c r="B23" i="17"/>
  <c r="B23" i="30"/>
  <c r="B23" i="40"/>
  <c r="B23" i="38"/>
  <c r="B17" i="75"/>
  <c r="B23" i="49"/>
  <c r="D23" i="49" s="1"/>
  <c r="B23" i="48"/>
  <c r="D23" i="48" s="1"/>
  <c r="B23" i="15"/>
  <c r="B23" i="46"/>
  <c r="D23" i="46" s="1"/>
  <c r="O23" i="11"/>
  <c r="AL13" i="77"/>
  <c r="AM13" i="77" s="1"/>
  <c r="AM4" i="78" s="1"/>
  <c r="AK6" i="86" s="1"/>
  <c r="AK16" i="86" s="1"/>
  <c r="AJ13" i="77"/>
  <c r="AK13" i="77" s="1"/>
  <c r="AK4" i="78" s="1"/>
  <c r="AJ6" i="86" s="1"/>
  <c r="AJ16" i="86" s="1"/>
  <c r="AH13" i="77"/>
  <c r="AI13" i="77" s="1"/>
  <c r="AI4" i="78" s="1"/>
  <c r="AI6" i="86" s="1"/>
  <c r="AI16" i="86" s="1"/>
  <c r="AF13" i="77"/>
  <c r="AG13" i="77" s="1"/>
  <c r="AG4" i="78" s="1"/>
  <c r="AH6" i="86" s="1"/>
  <c r="AH16" i="86" s="1"/>
  <c r="AD13" i="77"/>
  <c r="AE13" i="77" s="1"/>
  <c r="AE4" i="78" s="1"/>
  <c r="AG6" i="86" s="1"/>
  <c r="AG16" i="86" s="1"/>
  <c r="AB13" i="77"/>
  <c r="AC13" i="77" s="1"/>
  <c r="AC4" i="78" s="1"/>
  <c r="AF6" i="86" s="1"/>
  <c r="AF16" i="86" s="1"/>
  <c r="Z13" i="77"/>
  <c r="AA13" i="77" s="1"/>
  <c r="AA4" i="78" s="1"/>
  <c r="AE6" i="86" s="1"/>
  <c r="AE16" i="86" s="1"/>
  <c r="X13" i="77"/>
  <c r="Y13" i="77" s="1"/>
  <c r="Y4" i="78" s="1"/>
  <c r="AD6" i="86" s="1"/>
  <c r="AD16" i="86" s="1"/>
  <c r="V13" i="77"/>
  <c r="W13" i="77" s="1"/>
  <c r="W4" i="78" s="1"/>
  <c r="AC6" i="86" s="1"/>
  <c r="AC16" i="86" s="1"/>
  <c r="T13" i="77"/>
  <c r="U13" i="77" s="1"/>
  <c r="U4" i="78" s="1"/>
  <c r="AB6" i="86" s="1"/>
  <c r="AB16" i="86" s="1"/>
  <c r="R13" i="77"/>
  <c r="S13" i="77" s="1"/>
  <c r="S4" i="78" s="1"/>
  <c r="AA6" i="86" s="1"/>
  <c r="AA16" i="86" s="1"/>
  <c r="P13" i="77"/>
  <c r="Q13" i="77" s="1"/>
  <c r="Q4" i="78" s="1"/>
  <c r="Z6" i="86" s="1"/>
  <c r="Z16" i="86" s="1"/>
  <c r="N13" i="77"/>
  <c r="O13" i="77" s="1"/>
  <c r="O4" i="78" s="1"/>
  <c r="Y6" i="86" s="1"/>
  <c r="Y16" i="86" s="1"/>
  <c r="L13" i="77"/>
  <c r="M13" i="77" s="1"/>
  <c r="M4" i="78" s="1"/>
  <c r="X6" i="86" s="1"/>
  <c r="X16" i="86" s="1"/>
  <c r="J13" i="77"/>
  <c r="K13" i="77" s="1"/>
  <c r="K4" i="78" s="1"/>
  <c r="W6" i="86" s="1"/>
  <c r="W16" i="86" s="1"/>
  <c r="G41" i="86" s="1"/>
  <c r="H13" i="77"/>
  <c r="I13" i="77" s="1"/>
  <c r="I4" i="78" s="1"/>
  <c r="V6" i="86" s="1"/>
  <c r="V16" i="86" s="1"/>
  <c r="F13" i="77"/>
  <c r="G13" i="77" s="1"/>
  <c r="G4" i="78" s="1"/>
  <c r="U6" i="86" s="1"/>
  <c r="U16" i="86" s="1"/>
  <c r="D13" i="77"/>
  <c r="E13" i="77" s="1"/>
  <c r="E4" i="78" s="1"/>
  <c r="T6" i="86" s="1"/>
  <c r="T16" i="86" s="1"/>
  <c r="AF13" i="75"/>
  <c r="AG13" i="75" s="1"/>
  <c r="AD13" i="75"/>
  <c r="AE13" i="75" s="1"/>
  <c r="AB13" i="75"/>
  <c r="AC13" i="75" s="1"/>
  <c r="Z13" i="75"/>
  <c r="AA13" i="75" s="1"/>
  <c r="X13" i="75"/>
  <c r="Y13" i="75" s="1"/>
  <c r="V13" i="75"/>
  <c r="W13" i="75" s="1"/>
  <c r="T13" i="75"/>
  <c r="U13" i="75" s="1"/>
  <c r="R13" i="75"/>
  <c r="S13" i="75" s="1"/>
  <c r="P13" i="75"/>
  <c r="Q13" i="75" s="1"/>
  <c r="N13" i="75"/>
  <c r="O13" i="75" s="1"/>
  <c r="L13" i="75"/>
  <c r="M13" i="75" s="1"/>
  <c r="K13" i="75"/>
  <c r="I13" i="75"/>
  <c r="G13" i="75"/>
  <c r="E13" i="75"/>
  <c r="B24" i="38" l="1"/>
  <c r="Q4" i="76"/>
  <c r="K6" i="86"/>
  <c r="K16" i="86" s="1"/>
  <c r="F41" i="86" s="1"/>
  <c r="Y4" i="76"/>
  <c r="O6" i="86"/>
  <c r="O16" i="86" s="1"/>
  <c r="G4" i="76"/>
  <c r="F6" i="86"/>
  <c r="F16" i="86" s="1"/>
  <c r="K4" i="76"/>
  <c r="H6" i="86"/>
  <c r="H16" i="86" s="1"/>
  <c r="M4" i="76"/>
  <c r="I6" i="86"/>
  <c r="I16" i="86" s="1"/>
  <c r="E41" i="86" s="1"/>
  <c r="B24" i="47"/>
  <c r="D24" i="47" s="1"/>
  <c r="O4" i="76"/>
  <c r="J6" i="86"/>
  <c r="J16" i="86" s="1"/>
  <c r="AA4" i="76"/>
  <c r="P6" i="86"/>
  <c r="P16" i="86" s="1"/>
  <c r="F30" i="86" s="1"/>
  <c r="U24" i="16"/>
  <c r="W4" i="76"/>
  <c r="N6" i="86"/>
  <c r="N16" i="86" s="1"/>
  <c r="E30" i="86" s="1"/>
  <c r="AC4" i="76"/>
  <c r="Q6" i="86"/>
  <c r="Q16" i="86" s="1"/>
  <c r="B24" i="23"/>
  <c r="I4" i="76"/>
  <c r="G6" i="86"/>
  <c r="G16" i="86" s="1"/>
  <c r="AE4" i="76"/>
  <c r="R6" i="86"/>
  <c r="R16" i="86" s="1"/>
  <c r="B24" i="35"/>
  <c r="U4" i="76"/>
  <c r="M6" i="86"/>
  <c r="M16" i="86" s="1"/>
  <c r="E4" i="76"/>
  <c r="E6" i="86"/>
  <c r="E16" i="86" s="1"/>
  <c r="S4" i="76"/>
  <c r="L6" i="86"/>
  <c r="L16" i="86" s="1"/>
  <c r="AG4" i="76"/>
  <c r="S6" i="86"/>
  <c r="S16" i="86" s="1"/>
  <c r="G30" i="86" s="1"/>
  <c r="B24" i="26"/>
  <c r="B24" i="17"/>
  <c r="O24" i="14"/>
  <c r="R24" i="15"/>
  <c r="B24" i="30"/>
  <c r="B24" i="13"/>
  <c r="B24" i="31"/>
  <c r="B24" i="46"/>
  <c r="D24" i="46" s="1"/>
  <c r="R24" i="13"/>
  <c r="B24" i="18"/>
  <c r="B18" i="75"/>
  <c r="B24" i="48"/>
  <c r="D24" i="48" s="1"/>
  <c r="B24" i="11"/>
  <c r="B24" i="19"/>
  <c r="B24" i="21"/>
  <c r="B24" i="28"/>
  <c r="B24" i="37"/>
  <c r="R24" i="12"/>
  <c r="B24" i="27"/>
  <c r="O24" i="11"/>
  <c r="O24" i="16"/>
  <c r="R24" i="14"/>
  <c r="C10" i="85"/>
  <c r="B25" i="25" s="1"/>
  <c r="B87" i="84"/>
  <c r="B24" i="34"/>
  <c r="S24" i="11"/>
  <c r="B24" i="20"/>
  <c r="B24" i="29"/>
  <c r="B24" i="25"/>
  <c r="O24" i="15"/>
  <c r="R24" i="16"/>
  <c r="B24" i="16"/>
  <c r="B24" i="12"/>
  <c r="B18" i="77"/>
  <c r="B24" i="24"/>
  <c r="B24" i="39"/>
  <c r="B24" i="49"/>
  <c r="D24" i="49" s="1"/>
  <c r="O24" i="13"/>
  <c r="B24" i="33"/>
  <c r="B24" i="15"/>
  <c r="X24" i="15"/>
  <c r="B24" i="14"/>
  <c r="O24" i="12"/>
  <c r="B24" i="32"/>
  <c r="B24" i="36"/>
  <c r="B25" i="29" l="1"/>
  <c r="B25" i="39"/>
  <c r="B25" i="49"/>
  <c r="D25" i="49" s="1"/>
  <c r="B25" i="28"/>
  <c r="B25" i="35"/>
  <c r="R25" i="13"/>
  <c r="O25" i="16"/>
  <c r="B25" i="16"/>
  <c r="B25" i="21"/>
  <c r="B25" i="12"/>
  <c r="B25" i="24"/>
  <c r="B25" i="15"/>
  <c r="B25" i="17"/>
  <c r="B25" i="30"/>
  <c r="S25" i="11"/>
  <c r="O25" i="11"/>
  <c r="B88" i="84"/>
  <c r="X25" i="15"/>
  <c r="O25" i="12"/>
  <c r="B25" i="36"/>
  <c r="B25" i="46"/>
  <c r="D25" i="46" s="1"/>
  <c r="B19" i="75"/>
  <c r="B25" i="20"/>
  <c r="B25" i="13"/>
  <c r="B25" i="14"/>
  <c r="B25" i="34"/>
  <c r="O25" i="15"/>
  <c r="R25" i="15"/>
  <c r="B25" i="19"/>
  <c r="C11" i="85"/>
  <c r="B20" i="77" s="1"/>
  <c r="B25" i="27"/>
  <c r="B25" i="32"/>
  <c r="R25" i="16"/>
  <c r="B25" i="11"/>
  <c r="R25" i="12"/>
  <c r="B25" i="31"/>
  <c r="B25" i="37"/>
  <c r="B25" i="40"/>
  <c r="B25" i="47"/>
  <c r="D25" i="47" s="1"/>
  <c r="U25" i="16"/>
  <c r="R25" i="14"/>
  <c r="O25" i="14"/>
  <c r="B25" i="26"/>
  <c r="B25" i="38"/>
  <c r="B19" i="77"/>
  <c r="B25" i="48"/>
  <c r="D25" i="48" s="1"/>
  <c r="O25" i="13"/>
  <c r="B25" i="23"/>
  <c r="B25" i="18"/>
  <c r="B25" i="33"/>
  <c r="B26" i="40"/>
  <c r="B26" i="34"/>
  <c r="B26" i="26"/>
  <c r="B26" i="23"/>
  <c r="R26" i="15"/>
  <c r="X26" i="15"/>
  <c r="O26" i="11"/>
  <c r="B26" i="47"/>
  <c r="D26" i="47" s="1"/>
  <c r="B26" i="48"/>
  <c r="D26" i="48" s="1"/>
  <c r="R10" i="12"/>
  <c r="R11" i="12"/>
  <c r="R9" i="12"/>
  <c r="O7" i="12"/>
  <c r="O8" i="12"/>
  <c r="O6" i="12"/>
  <c r="B26" i="19" l="1"/>
  <c r="B26" i="37"/>
  <c r="B26" i="16"/>
  <c r="B26" i="15"/>
  <c r="B26" i="20"/>
  <c r="R26" i="12"/>
  <c r="O26" i="14"/>
  <c r="O26" i="13"/>
  <c r="B26" i="24"/>
  <c r="O26" i="12"/>
  <c r="B26" i="28"/>
  <c r="B26" i="49"/>
  <c r="D26" i="49" s="1"/>
  <c r="U26" i="16"/>
  <c r="R26" i="14"/>
  <c r="C12" i="85"/>
  <c r="B27" i="26" s="1"/>
  <c r="B26" i="39"/>
  <c r="B26" i="46"/>
  <c r="D26" i="46" s="1"/>
  <c r="B26" i="29"/>
  <c r="B26" i="13"/>
  <c r="S26" i="11"/>
  <c r="B26" i="18"/>
  <c r="B26" i="31"/>
  <c r="B26" i="11"/>
  <c r="R26" i="13"/>
  <c r="R26" i="16"/>
  <c r="B26" i="21"/>
  <c r="B26" i="33"/>
  <c r="B26" i="35"/>
  <c r="O26" i="15"/>
  <c r="O26" i="16"/>
  <c r="B26" i="17"/>
  <c r="B26" i="12"/>
  <c r="B26" i="36"/>
  <c r="B89" i="84"/>
  <c r="B26" i="14"/>
  <c r="B26" i="30"/>
  <c r="B26" i="32"/>
  <c r="B26" i="27"/>
  <c r="B26" i="38"/>
  <c r="B20" i="75"/>
  <c r="B26" i="25"/>
  <c r="X27" i="15"/>
  <c r="B27" i="48"/>
  <c r="D27" i="48" s="1"/>
  <c r="O27" i="11"/>
  <c r="B27" i="12" l="1"/>
  <c r="O27" i="15"/>
  <c r="O27" i="13"/>
  <c r="B27" i="20"/>
  <c r="B27" i="11"/>
  <c r="B27" i="49"/>
  <c r="D27" i="49" s="1"/>
  <c r="O27" i="12"/>
  <c r="R27" i="13"/>
  <c r="O27" i="16"/>
  <c r="B27" i="35"/>
  <c r="B27" i="38"/>
  <c r="B27" i="47"/>
  <c r="D27" i="47" s="1"/>
  <c r="U27" i="16"/>
  <c r="B27" i="21"/>
  <c r="B27" i="27"/>
  <c r="B27" i="28"/>
  <c r="B27" i="30"/>
  <c r="B27" i="13"/>
  <c r="B27" i="14"/>
  <c r="B27" i="24"/>
  <c r="B27" i="32"/>
  <c r="B90" i="84"/>
  <c r="S27" i="11"/>
  <c r="R27" i="14"/>
  <c r="B27" i="19"/>
  <c r="B27" i="36"/>
  <c r="B27" i="40"/>
  <c r="B27" i="33"/>
  <c r="R27" i="15"/>
  <c r="B27" i="17"/>
  <c r="B27" i="23"/>
  <c r="B27" i="31"/>
  <c r="B27" i="29"/>
  <c r="R27" i="12"/>
  <c r="B21" i="75"/>
  <c r="B27" i="46"/>
  <c r="D27" i="46" s="1"/>
  <c r="B27" i="16"/>
  <c r="O27" i="14"/>
  <c r="C13" i="85"/>
  <c r="B28" i="26" s="1"/>
  <c r="B27" i="39"/>
  <c r="B21" i="77"/>
  <c r="B27" i="25"/>
  <c r="B27" i="15"/>
  <c r="R27" i="16"/>
  <c r="B27" i="18"/>
  <c r="B27" i="37"/>
  <c r="B27" i="34"/>
  <c r="B22" i="77"/>
  <c r="B28" i="37"/>
  <c r="R28" i="13"/>
  <c r="X28" i="15"/>
  <c r="B28" i="11"/>
  <c r="B28" i="16"/>
  <c r="B28" i="15"/>
  <c r="B28" i="47"/>
  <c r="D28" i="47" s="1"/>
  <c r="O28" i="15"/>
  <c r="P20" i="16"/>
  <c r="S20" i="15"/>
  <c r="P22" i="16"/>
  <c r="R28" i="12" l="1"/>
  <c r="B28" i="36"/>
  <c r="B28" i="38"/>
  <c r="O28" i="16"/>
  <c r="B28" i="17"/>
  <c r="B28" i="25"/>
  <c r="R28" i="15"/>
  <c r="B28" i="35"/>
  <c r="O28" i="12"/>
  <c r="O28" i="13"/>
  <c r="B28" i="21"/>
  <c r="B22" i="75"/>
  <c r="B28" i="14"/>
  <c r="R28" i="16"/>
  <c r="B28" i="19"/>
  <c r="B28" i="33"/>
  <c r="B28" i="48"/>
  <c r="D28" i="48" s="1"/>
  <c r="S28" i="11"/>
  <c r="B28" i="18"/>
  <c r="R28" i="14"/>
  <c r="B28" i="28"/>
  <c r="B28" i="30"/>
  <c r="C14" i="85"/>
  <c r="B29" i="30" s="1"/>
  <c r="B28" i="32"/>
  <c r="B91" i="84"/>
  <c r="B28" i="20"/>
  <c r="B28" i="24"/>
  <c r="B28" i="40"/>
  <c r="B28" i="39"/>
  <c r="B28" i="49"/>
  <c r="D28" i="49" s="1"/>
  <c r="U28" i="16"/>
  <c r="B28" i="13"/>
  <c r="B28" i="12"/>
  <c r="B28" i="34"/>
  <c r="B28" i="29"/>
  <c r="B28" i="31"/>
  <c r="B28" i="46"/>
  <c r="D28" i="46" s="1"/>
  <c r="O28" i="11"/>
  <c r="O28" i="14"/>
  <c r="B28" i="23"/>
  <c r="B28" i="27"/>
  <c r="B29" i="33"/>
  <c r="B29" i="35"/>
  <c r="B29" i="28"/>
  <c r="B29" i="17"/>
  <c r="B29" i="14"/>
  <c r="O29" i="14"/>
  <c r="X29" i="15"/>
  <c r="U29" i="16"/>
  <c r="B29" i="49"/>
  <c r="D29" i="49" s="1"/>
  <c r="B29" i="46"/>
  <c r="D29" i="46" s="1"/>
  <c r="P21" i="16"/>
  <c r="P23" i="16"/>
  <c r="B29" i="48" l="1"/>
  <c r="D29" i="48" s="1"/>
  <c r="R29" i="15"/>
  <c r="R29" i="13"/>
  <c r="R29" i="12"/>
  <c r="B29" i="29"/>
  <c r="B29" i="21"/>
  <c r="B23" i="75"/>
  <c r="O29" i="13"/>
  <c r="B29" i="16"/>
  <c r="B23" i="77"/>
  <c r="O29" i="11"/>
  <c r="O29" i="15"/>
  <c r="B29" i="12"/>
  <c r="B29" i="47"/>
  <c r="D29" i="47" s="1"/>
  <c r="O29" i="12"/>
  <c r="B92" i="84"/>
  <c r="B29" i="20"/>
  <c r="C15" i="85"/>
  <c r="S29" i="11"/>
  <c r="B29" i="34"/>
  <c r="B29" i="15"/>
  <c r="R29" i="16"/>
  <c r="B29" i="18"/>
  <c r="B29" i="39"/>
  <c r="B29" i="31"/>
  <c r="B29" i="11"/>
  <c r="B29" i="13"/>
  <c r="B29" i="19"/>
  <c r="B29" i="27"/>
  <c r="B29" i="40"/>
  <c r="B29" i="24"/>
  <c r="O29" i="16"/>
  <c r="B29" i="23"/>
  <c r="B29" i="38"/>
  <c r="B29" i="32"/>
  <c r="B29" i="36"/>
  <c r="R29" i="14"/>
  <c r="B29" i="25"/>
  <c r="B29" i="26"/>
  <c r="B29" i="37"/>
  <c r="B30" i="38"/>
  <c r="B30" i="34"/>
  <c r="B30" i="37"/>
  <c r="B30" i="27"/>
  <c r="B30" i="36"/>
  <c r="B30" i="24"/>
  <c r="B30" i="33"/>
  <c r="B30" i="31"/>
  <c r="B24" i="77"/>
  <c r="B93" i="84"/>
  <c r="B30" i="30"/>
  <c r="B30" i="26"/>
  <c r="B24" i="75"/>
  <c r="B30" i="35"/>
  <c r="B30" i="25"/>
  <c r="B30" i="40"/>
  <c r="B30" i="28"/>
  <c r="B30" i="32"/>
  <c r="B30" i="29"/>
  <c r="B30" i="39"/>
  <c r="C16" i="85"/>
  <c r="O30" i="12"/>
  <c r="R30" i="14"/>
  <c r="O30" i="14"/>
  <c r="B30" i="20"/>
  <c r="B30" i="17"/>
  <c r="B30" i="18"/>
  <c r="R30" i="12"/>
  <c r="B30" i="23"/>
  <c r="B30" i="19"/>
  <c r="B30" i="14"/>
  <c r="B30" i="12"/>
  <c r="B30" i="21"/>
  <c r="R30" i="15"/>
  <c r="R30" i="13"/>
  <c r="O30" i="16"/>
  <c r="B30" i="13"/>
  <c r="X30" i="15"/>
  <c r="R30" i="16"/>
  <c r="S30" i="11"/>
  <c r="B30" i="16"/>
  <c r="O30" i="13"/>
  <c r="U30" i="16"/>
  <c r="B30" i="49"/>
  <c r="D30" i="49" s="1"/>
  <c r="B30" i="11"/>
  <c r="B30" i="15"/>
  <c r="O30" i="11"/>
  <c r="O30" i="15"/>
  <c r="B30" i="47"/>
  <c r="D30" i="47" s="1"/>
  <c r="B30" i="46"/>
  <c r="D30" i="46" s="1"/>
  <c r="B30" i="48"/>
  <c r="D30" i="48" s="1"/>
  <c r="P24" i="16"/>
  <c r="B31" i="39" l="1"/>
  <c r="B31" i="38"/>
  <c r="B31" i="34"/>
  <c r="B31" i="37"/>
  <c r="B31" i="27"/>
  <c r="B94" i="84"/>
  <c r="B31" i="36"/>
  <c r="B31" i="24"/>
  <c r="B31" i="33"/>
  <c r="B31" i="31"/>
  <c r="B25" i="77"/>
  <c r="B31" i="30"/>
  <c r="B31" i="35"/>
  <c r="B31" i="29"/>
  <c r="B31" i="40"/>
  <c r="B25" i="75"/>
  <c r="B31" i="28"/>
  <c r="B31" i="25"/>
  <c r="B31" i="32"/>
  <c r="B31" i="26"/>
  <c r="C17" i="85"/>
  <c r="B31" i="18"/>
  <c r="O31" i="14"/>
  <c r="B31" i="17"/>
  <c r="O31" i="12"/>
  <c r="B31" i="20"/>
  <c r="B31" i="21"/>
  <c r="R31" i="14"/>
  <c r="R31" i="12"/>
  <c r="B31" i="12"/>
  <c r="B31" i="23"/>
  <c r="B31" i="19"/>
  <c r="B31" i="14"/>
  <c r="O31" i="13"/>
  <c r="U31" i="16"/>
  <c r="R31" i="15"/>
  <c r="R31" i="13"/>
  <c r="B31" i="13"/>
  <c r="X31" i="15"/>
  <c r="R31" i="16"/>
  <c r="S31" i="11"/>
  <c r="O31" i="16"/>
  <c r="B31" i="16"/>
  <c r="O31" i="11"/>
  <c r="O31" i="15"/>
  <c r="B31" i="47"/>
  <c r="D31" i="47" s="1"/>
  <c r="B31" i="15"/>
  <c r="B31" i="48"/>
  <c r="D31" i="48" s="1"/>
  <c r="B31" i="46"/>
  <c r="D31" i="46" s="1"/>
  <c r="B31" i="49"/>
  <c r="D31" i="49" s="1"/>
  <c r="B31" i="11"/>
  <c r="P25" i="16"/>
  <c r="B32" i="40" l="1"/>
  <c r="B32" i="39"/>
  <c r="B32" i="25"/>
  <c r="B32" i="38"/>
  <c r="B32" i="34"/>
  <c r="B32" i="37"/>
  <c r="B32" i="27"/>
  <c r="B32" i="33"/>
  <c r="B32" i="36"/>
  <c r="B32" i="24"/>
  <c r="B32" i="35"/>
  <c r="B32" i="29"/>
  <c r="B95" i="84"/>
  <c r="B26" i="77"/>
  <c r="B32" i="31"/>
  <c r="B32" i="30"/>
  <c r="B26" i="75"/>
  <c r="B32" i="28"/>
  <c r="B32" i="32"/>
  <c r="B32" i="26"/>
  <c r="C18" i="85"/>
  <c r="B32" i="21"/>
  <c r="B32" i="18"/>
  <c r="O32" i="14"/>
  <c r="O32" i="12"/>
  <c r="B32" i="20"/>
  <c r="B32" i="17"/>
  <c r="B32" i="14"/>
  <c r="R32" i="14"/>
  <c r="B32" i="23"/>
  <c r="B32" i="12"/>
  <c r="R32" i="12"/>
  <c r="B32" i="19"/>
  <c r="B32" i="16"/>
  <c r="O32" i="13"/>
  <c r="U32" i="16"/>
  <c r="O32" i="16"/>
  <c r="R32" i="13"/>
  <c r="B32" i="13"/>
  <c r="X32" i="15"/>
  <c r="R32" i="16"/>
  <c r="R32" i="15"/>
  <c r="S32" i="11"/>
  <c r="B32" i="48"/>
  <c r="D32" i="48" s="1"/>
  <c r="B32" i="46"/>
  <c r="D32" i="46" s="1"/>
  <c r="B32" i="11"/>
  <c r="B32" i="15"/>
  <c r="O32" i="15"/>
  <c r="B32" i="49"/>
  <c r="D32" i="49" s="1"/>
  <c r="O32" i="11"/>
  <c r="B32" i="47"/>
  <c r="D32" i="47" s="1"/>
  <c r="P26" i="16"/>
  <c r="B27" i="77" l="1"/>
  <c r="B27" i="75"/>
  <c r="B33" i="35"/>
  <c r="B33" i="40"/>
  <c r="B33" i="32"/>
  <c r="B33" i="28"/>
  <c r="B33" i="36"/>
  <c r="B33" i="39"/>
  <c r="B33" i="25"/>
  <c r="B33" i="38"/>
  <c r="B33" i="34"/>
  <c r="B33" i="37"/>
  <c r="B33" i="27"/>
  <c r="B33" i="24"/>
  <c r="B33" i="29"/>
  <c r="B96" i="84"/>
  <c r="B33" i="31"/>
  <c r="B33" i="33"/>
  <c r="B33" i="30"/>
  <c r="B33" i="26"/>
  <c r="C19" i="85"/>
  <c r="B33" i="12"/>
  <c r="B33" i="18"/>
  <c r="O33" i="14"/>
  <c r="B33" i="19"/>
  <c r="B33" i="21"/>
  <c r="O33" i="12"/>
  <c r="B33" i="14"/>
  <c r="B33" i="20"/>
  <c r="B33" i="17"/>
  <c r="R33" i="14"/>
  <c r="R33" i="12"/>
  <c r="B33" i="23"/>
  <c r="S33" i="11"/>
  <c r="B33" i="16"/>
  <c r="O33" i="13"/>
  <c r="U33" i="16"/>
  <c r="R33" i="15"/>
  <c r="B33" i="11"/>
  <c r="O33" i="16"/>
  <c r="R33" i="13"/>
  <c r="B33" i="13"/>
  <c r="X33" i="15"/>
  <c r="R33" i="16"/>
  <c r="B33" i="48"/>
  <c r="D33" i="48" s="1"/>
  <c r="O33" i="11"/>
  <c r="B33" i="49"/>
  <c r="D33" i="49" s="1"/>
  <c r="B33" i="47"/>
  <c r="D33" i="47" s="1"/>
  <c r="B33" i="15"/>
  <c r="B33" i="46"/>
  <c r="D33" i="46" s="1"/>
  <c r="O33" i="15"/>
  <c r="P27" i="16"/>
  <c r="B97" i="84" l="1"/>
  <c r="B28" i="77"/>
  <c r="B28" i="75"/>
  <c r="B34" i="35"/>
  <c r="B34" i="29"/>
  <c r="B34" i="37"/>
  <c r="B34" i="40"/>
  <c r="B34" i="32"/>
  <c r="B34" i="28"/>
  <c r="B34" i="39"/>
  <c r="B34" i="25"/>
  <c r="B34" i="38"/>
  <c r="B34" i="34"/>
  <c r="B34" i="26"/>
  <c r="B34" i="24"/>
  <c r="B34" i="31"/>
  <c r="B34" i="36"/>
  <c r="B34" i="27"/>
  <c r="B34" i="33"/>
  <c r="B34" i="30"/>
  <c r="C20" i="85"/>
  <c r="B34" i="23"/>
  <c r="B34" i="19"/>
  <c r="B34" i="14"/>
  <c r="B34" i="12"/>
  <c r="B34" i="21"/>
  <c r="B34" i="18"/>
  <c r="O34" i="14"/>
  <c r="O34" i="12"/>
  <c r="B34" i="20"/>
  <c r="B34" i="17"/>
  <c r="R34" i="14"/>
  <c r="R34" i="12"/>
  <c r="R34" i="16"/>
  <c r="S34" i="11"/>
  <c r="O34" i="13"/>
  <c r="U34" i="16"/>
  <c r="R34" i="15"/>
  <c r="O34" i="16"/>
  <c r="B34" i="16"/>
  <c r="R34" i="13"/>
  <c r="B34" i="13"/>
  <c r="X34" i="15"/>
  <c r="B34" i="47"/>
  <c r="D34" i="47" s="1"/>
  <c r="B34" i="49"/>
  <c r="D34" i="49" s="1"/>
  <c r="B34" i="15"/>
  <c r="B34" i="46"/>
  <c r="D34" i="46" s="1"/>
  <c r="B34" i="48"/>
  <c r="D34" i="48" s="1"/>
  <c r="O34" i="15"/>
  <c r="B34" i="11"/>
  <c r="O34" i="11"/>
  <c r="P28" i="16"/>
  <c r="B98" i="84" l="1"/>
  <c r="B35" i="30"/>
  <c r="B35" i="26"/>
  <c r="B35" i="34"/>
  <c r="B29" i="77"/>
  <c r="B29" i="75"/>
  <c r="B35" i="35"/>
  <c r="B35" i="29"/>
  <c r="B35" i="40"/>
  <c r="B35" i="32"/>
  <c r="B35" i="28"/>
  <c r="B35" i="38"/>
  <c r="B35" i="39"/>
  <c r="B35" i="25"/>
  <c r="B35" i="37"/>
  <c r="B35" i="36"/>
  <c r="B35" i="24"/>
  <c r="B35" i="27"/>
  <c r="B35" i="31"/>
  <c r="B35" i="33"/>
  <c r="C21" i="85"/>
  <c r="R35" i="12"/>
  <c r="B35" i="23"/>
  <c r="B35" i="19"/>
  <c r="B35" i="14"/>
  <c r="B35" i="12"/>
  <c r="R35" i="14"/>
  <c r="B35" i="21"/>
  <c r="B35" i="18"/>
  <c r="O35" i="14"/>
  <c r="B35" i="17"/>
  <c r="O35" i="12"/>
  <c r="B35" i="20"/>
  <c r="B35" i="13"/>
  <c r="X35" i="15"/>
  <c r="R35" i="16"/>
  <c r="S35" i="11"/>
  <c r="B35" i="16"/>
  <c r="O35" i="13"/>
  <c r="U35" i="16"/>
  <c r="R35" i="15"/>
  <c r="O35" i="16"/>
  <c r="R35" i="13"/>
  <c r="O35" i="11"/>
  <c r="B35" i="46"/>
  <c r="D35" i="46" s="1"/>
  <c r="B35" i="48"/>
  <c r="D35" i="48" s="1"/>
  <c r="B35" i="49"/>
  <c r="D35" i="49" s="1"/>
  <c r="B35" i="11"/>
  <c r="O35" i="15"/>
  <c r="B35" i="47"/>
  <c r="D35" i="47" s="1"/>
  <c r="B35" i="15"/>
  <c r="P29" i="16"/>
  <c r="B36" i="36" l="1"/>
  <c r="B36" i="33"/>
  <c r="B36" i="31"/>
  <c r="B99" i="84"/>
  <c r="B36" i="30"/>
  <c r="B36" i="26"/>
  <c r="B30" i="77"/>
  <c r="B30" i="75"/>
  <c r="B36" i="35"/>
  <c r="B36" i="29"/>
  <c r="B36" i="39"/>
  <c r="B36" i="40"/>
  <c r="B36" i="32"/>
  <c r="B36" i="28"/>
  <c r="B36" i="37"/>
  <c r="B36" i="24"/>
  <c r="B36" i="34"/>
  <c r="B36" i="38"/>
  <c r="B36" i="27"/>
  <c r="B36" i="25"/>
  <c r="C22" i="85"/>
  <c r="R36" i="14"/>
  <c r="B36" i="19"/>
  <c r="B36" i="14"/>
  <c r="B36" i="17"/>
  <c r="R36" i="12"/>
  <c r="B36" i="23"/>
  <c r="B36" i="12"/>
  <c r="B36" i="20"/>
  <c r="B36" i="21"/>
  <c r="O36" i="12"/>
  <c r="B36" i="18"/>
  <c r="O36" i="14"/>
  <c r="R36" i="13"/>
  <c r="B36" i="13"/>
  <c r="X36" i="15"/>
  <c r="R36" i="16"/>
  <c r="S36" i="11"/>
  <c r="B36" i="16"/>
  <c r="O36" i="13"/>
  <c r="U36" i="16"/>
  <c r="R36" i="15"/>
  <c r="O36" i="16"/>
  <c r="B36" i="46"/>
  <c r="D36" i="46" s="1"/>
  <c r="B36" i="11"/>
  <c r="O36" i="11"/>
  <c r="B36" i="15"/>
  <c r="B36" i="47"/>
  <c r="D36" i="47" s="1"/>
  <c r="O36" i="15"/>
  <c r="B36" i="49"/>
  <c r="D36" i="49" s="1"/>
  <c r="B36" i="48"/>
  <c r="D36" i="48" s="1"/>
  <c r="P30" i="16"/>
  <c r="B37" i="37" l="1"/>
  <c r="B37" i="36"/>
  <c r="B37" i="24"/>
  <c r="B37" i="32"/>
  <c r="B37" i="33"/>
  <c r="B37" i="31"/>
  <c r="B100" i="84"/>
  <c r="B37" i="30"/>
  <c r="B37" i="26"/>
  <c r="B37" i="40"/>
  <c r="B31" i="77"/>
  <c r="B31" i="75"/>
  <c r="B37" i="35"/>
  <c r="B37" i="29"/>
  <c r="B37" i="39"/>
  <c r="B37" i="34"/>
  <c r="B37" i="25"/>
  <c r="B37" i="28"/>
  <c r="B37" i="38"/>
  <c r="B37" i="27"/>
  <c r="C23" i="85"/>
  <c r="B37" i="20"/>
  <c r="B37" i="17"/>
  <c r="R37" i="14"/>
  <c r="R37" i="12"/>
  <c r="B37" i="23"/>
  <c r="B37" i="19"/>
  <c r="B37" i="14"/>
  <c r="B37" i="12"/>
  <c r="B37" i="18"/>
  <c r="O37" i="14"/>
  <c r="B37" i="21"/>
  <c r="O37" i="12"/>
  <c r="O37" i="16"/>
  <c r="R37" i="13"/>
  <c r="R37" i="16"/>
  <c r="B37" i="13"/>
  <c r="S37" i="11"/>
  <c r="B37" i="16"/>
  <c r="X37" i="15"/>
  <c r="O37" i="13"/>
  <c r="U37" i="16"/>
  <c r="R37" i="15"/>
  <c r="B37" i="49"/>
  <c r="D37" i="49" s="1"/>
  <c r="B37" i="15"/>
  <c r="B37" i="47"/>
  <c r="D37" i="47" s="1"/>
  <c r="O37" i="15"/>
  <c r="O37" i="11"/>
  <c r="B37" i="46"/>
  <c r="D37" i="46" s="1"/>
  <c r="B37" i="48"/>
  <c r="D37" i="48" s="1"/>
  <c r="B37" i="11"/>
  <c r="P31" i="16"/>
  <c r="B38" i="38" l="1"/>
  <c r="B38" i="34"/>
  <c r="B38" i="37"/>
  <c r="B38" i="27"/>
  <c r="B32" i="75"/>
  <c r="B38" i="36"/>
  <c r="B38" i="24"/>
  <c r="B38" i="33"/>
  <c r="B38" i="31"/>
  <c r="B38" i="35"/>
  <c r="B101" i="84"/>
  <c r="B38" i="30"/>
  <c r="B38" i="26"/>
  <c r="B32" i="77"/>
  <c r="B38" i="39"/>
  <c r="B38" i="40"/>
  <c r="B38" i="29"/>
  <c r="B38" i="28"/>
  <c r="B38" i="25"/>
  <c r="B38" i="32"/>
  <c r="C24" i="85"/>
  <c r="O38" i="12"/>
  <c r="B38" i="20"/>
  <c r="B38" i="17"/>
  <c r="R38" i="14"/>
  <c r="R38" i="12"/>
  <c r="B38" i="23"/>
  <c r="B38" i="19"/>
  <c r="B38" i="14"/>
  <c r="O38" i="14"/>
  <c r="B38" i="12"/>
  <c r="B38" i="21"/>
  <c r="B38" i="18"/>
  <c r="R38" i="15"/>
  <c r="O38" i="16"/>
  <c r="B38" i="13"/>
  <c r="X38" i="15"/>
  <c r="R38" i="16"/>
  <c r="S38" i="11"/>
  <c r="B38" i="16"/>
  <c r="O38" i="13"/>
  <c r="U38" i="16"/>
  <c r="R38" i="13"/>
  <c r="B38" i="11"/>
  <c r="B38" i="15"/>
  <c r="O38" i="11"/>
  <c r="B38" i="47"/>
  <c r="D38" i="47" s="1"/>
  <c r="B38" i="46"/>
  <c r="D38" i="46" s="1"/>
  <c r="O38" i="15"/>
  <c r="B38" i="48"/>
  <c r="D38" i="48" s="1"/>
  <c r="B38" i="49"/>
  <c r="D38" i="49" s="1"/>
  <c r="P32" i="16"/>
  <c r="B39" i="39" l="1"/>
  <c r="B39" i="38"/>
  <c r="B39" i="34"/>
  <c r="B39" i="37"/>
  <c r="B39" i="27"/>
  <c r="B39" i="36"/>
  <c r="B39" i="24"/>
  <c r="B102" i="84"/>
  <c r="B39" i="33"/>
  <c r="B39" i="31"/>
  <c r="B39" i="32"/>
  <c r="B39" i="28"/>
  <c r="B39" i="25"/>
  <c r="B39" i="29"/>
  <c r="B39" i="30"/>
  <c r="B39" i="35"/>
  <c r="B39" i="26"/>
  <c r="B33" i="77"/>
  <c r="B39" i="40"/>
  <c r="B33" i="75"/>
  <c r="C25" i="85"/>
  <c r="B39" i="18"/>
  <c r="O39" i="14"/>
  <c r="B39" i="20"/>
  <c r="O39" i="12"/>
  <c r="B39" i="17"/>
  <c r="R39" i="14"/>
  <c r="B39" i="12"/>
  <c r="B39" i="21"/>
  <c r="R39" i="12"/>
  <c r="B39" i="23"/>
  <c r="B39" i="19"/>
  <c r="B39" i="14"/>
  <c r="O39" i="13"/>
  <c r="U39" i="16"/>
  <c r="O39" i="16"/>
  <c r="R39" i="15"/>
  <c r="R39" i="13"/>
  <c r="B39" i="13"/>
  <c r="X39" i="15"/>
  <c r="R39" i="16"/>
  <c r="S39" i="11"/>
  <c r="B39" i="16"/>
  <c r="B39" i="47"/>
  <c r="D39" i="47" s="1"/>
  <c r="O39" i="15"/>
  <c r="B39" i="15"/>
  <c r="B39" i="48"/>
  <c r="D39" i="48" s="1"/>
  <c r="B39" i="46"/>
  <c r="D39" i="46" s="1"/>
  <c r="B39" i="49"/>
  <c r="D39" i="49" s="1"/>
  <c r="B39" i="11"/>
  <c r="O39" i="11"/>
  <c r="P33" i="16"/>
  <c r="B40" i="40" l="1"/>
  <c r="B40" i="39"/>
  <c r="B40" i="25"/>
  <c r="B40" i="38"/>
  <c r="B40" i="34"/>
  <c r="B40" i="37"/>
  <c r="B40" i="27"/>
  <c r="B40" i="36"/>
  <c r="B40" i="24"/>
  <c r="B40" i="33"/>
  <c r="B40" i="30"/>
  <c r="B103" i="84"/>
  <c r="B40" i="32"/>
  <c r="B40" i="28"/>
  <c r="B40" i="35"/>
  <c r="B40" i="26"/>
  <c r="B34" i="77"/>
  <c r="B40" i="29"/>
  <c r="B34" i="75"/>
  <c r="B40" i="31"/>
  <c r="C26" i="85"/>
  <c r="B40" i="21"/>
  <c r="O40" i="12"/>
  <c r="B40" i="18"/>
  <c r="O40" i="14"/>
  <c r="B40" i="20"/>
  <c r="B40" i="17"/>
  <c r="B40" i="23"/>
  <c r="B40" i="19"/>
  <c r="B40" i="12"/>
  <c r="R40" i="14"/>
  <c r="B40" i="14"/>
  <c r="R40" i="12"/>
  <c r="B40" i="16"/>
  <c r="O40" i="13"/>
  <c r="U40" i="16"/>
  <c r="R40" i="15"/>
  <c r="O40" i="16"/>
  <c r="R40" i="13"/>
  <c r="B40" i="13"/>
  <c r="X40" i="15"/>
  <c r="R40" i="16"/>
  <c r="S40" i="11"/>
  <c r="B40" i="46"/>
  <c r="D40" i="46" s="1"/>
  <c r="B40" i="15"/>
  <c r="O40" i="15"/>
  <c r="B40" i="49"/>
  <c r="D40" i="49" s="1"/>
  <c r="B40" i="11"/>
  <c r="B40" i="47"/>
  <c r="D40" i="47" s="1"/>
  <c r="O40" i="11"/>
  <c r="B40" i="48"/>
  <c r="D40" i="48" s="1"/>
  <c r="P34" i="16"/>
  <c r="B35" i="77" l="1"/>
  <c r="B35" i="75"/>
  <c r="B41" i="35"/>
  <c r="B41" i="40"/>
  <c r="B41" i="32"/>
  <c r="B41" i="28"/>
  <c r="B41" i="39"/>
  <c r="B41" i="25"/>
  <c r="B41" i="38"/>
  <c r="B41" i="34"/>
  <c r="B41" i="37"/>
  <c r="B41" i="27"/>
  <c r="B41" i="36"/>
  <c r="B41" i="33"/>
  <c r="B41" i="30"/>
  <c r="B41" i="26"/>
  <c r="B104" i="84"/>
  <c r="B41" i="24"/>
  <c r="B41" i="31"/>
  <c r="B41" i="29"/>
  <c r="C27" i="85"/>
  <c r="B41" i="23"/>
  <c r="B41" i="19"/>
  <c r="B41" i="12"/>
  <c r="O41" i="14"/>
  <c r="B41" i="21"/>
  <c r="B41" i="18"/>
  <c r="B41" i="14"/>
  <c r="O41" i="12"/>
  <c r="B41" i="20"/>
  <c r="B41" i="17"/>
  <c r="R41" i="12"/>
  <c r="R41" i="14"/>
  <c r="S41" i="11"/>
  <c r="B41" i="16"/>
  <c r="O41" i="13"/>
  <c r="R41" i="15"/>
  <c r="O41" i="16"/>
  <c r="R41" i="13"/>
  <c r="B41" i="13"/>
  <c r="X41" i="15"/>
  <c r="R41" i="16"/>
  <c r="U41" i="16"/>
  <c r="O41" i="11"/>
  <c r="B41" i="46"/>
  <c r="D41" i="46" s="1"/>
  <c r="B41" i="11"/>
  <c r="B41" i="49"/>
  <c r="D41" i="49" s="1"/>
  <c r="B41" i="15"/>
  <c r="O41" i="15"/>
  <c r="B41" i="48"/>
  <c r="D41" i="48" s="1"/>
  <c r="B41" i="47"/>
  <c r="D41" i="47" s="1"/>
  <c r="P35" i="16"/>
  <c r="B105" i="84" l="1"/>
  <c r="B36" i="77"/>
  <c r="B36" i="75"/>
  <c r="B42" i="35"/>
  <c r="B42" i="29"/>
  <c r="B42" i="40"/>
  <c r="B42" i="32"/>
  <c r="B42" i="28"/>
  <c r="B42" i="39"/>
  <c r="B42" i="25"/>
  <c r="B42" i="38"/>
  <c r="B42" i="34"/>
  <c r="B42" i="37"/>
  <c r="B42" i="33"/>
  <c r="B42" i="31"/>
  <c r="B42" i="30"/>
  <c r="B42" i="36"/>
  <c r="B42" i="26"/>
  <c r="B42" i="27"/>
  <c r="B42" i="24"/>
  <c r="B42" i="49"/>
  <c r="D42" i="49" s="1"/>
  <c r="B42" i="23"/>
  <c r="B42" i="19"/>
  <c r="B42" i="14"/>
  <c r="B42" i="21"/>
  <c r="R42" i="12"/>
  <c r="B42" i="12"/>
  <c r="B42" i="18"/>
  <c r="O42" i="14"/>
  <c r="R42" i="14"/>
  <c r="O42" i="12"/>
  <c r="B42" i="20"/>
  <c r="B42" i="17"/>
  <c r="R42" i="16"/>
  <c r="S42" i="11"/>
  <c r="B42" i="16"/>
  <c r="O42" i="13"/>
  <c r="U42" i="16"/>
  <c r="R42" i="15"/>
  <c r="O42" i="16"/>
  <c r="R42" i="13"/>
  <c r="B42" i="13"/>
  <c r="X42" i="15"/>
  <c r="B42" i="47"/>
  <c r="D42" i="47" s="1"/>
  <c r="B42" i="48"/>
  <c r="D42" i="48" s="1"/>
  <c r="B42" i="15"/>
  <c r="B42" i="46"/>
  <c r="D42" i="46" s="1"/>
  <c r="O42" i="15"/>
  <c r="B42" i="11"/>
  <c r="C28" i="85"/>
  <c r="O42" i="11"/>
  <c r="P36" i="16"/>
  <c r="B106" i="84" l="1"/>
  <c r="B43" i="30"/>
  <c r="B43" i="26"/>
  <c r="B43" i="38"/>
  <c r="B37" i="77"/>
  <c r="B37" i="75"/>
  <c r="B43" i="35"/>
  <c r="B43" i="29"/>
  <c r="B43" i="40"/>
  <c r="B43" i="32"/>
  <c r="B43" i="28"/>
  <c r="B43" i="39"/>
  <c r="B43" i="25"/>
  <c r="B43" i="34"/>
  <c r="B43" i="31"/>
  <c r="B43" i="37"/>
  <c r="B43" i="33"/>
  <c r="B43" i="27"/>
  <c r="B43" i="24"/>
  <c r="B43" i="36"/>
  <c r="R43" i="12"/>
  <c r="B43" i="12"/>
  <c r="B43" i="23"/>
  <c r="B43" i="19"/>
  <c r="B43" i="14"/>
  <c r="B43" i="21"/>
  <c r="B43" i="20"/>
  <c r="B43" i="17"/>
  <c r="R43" i="14"/>
  <c r="B43" i="18"/>
  <c r="O43" i="14"/>
  <c r="O43" i="12"/>
  <c r="B43" i="13"/>
  <c r="X43" i="15"/>
  <c r="R43" i="16"/>
  <c r="S43" i="11"/>
  <c r="B43" i="16"/>
  <c r="O43" i="13"/>
  <c r="U43" i="16"/>
  <c r="R43" i="15"/>
  <c r="O43" i="16"/>
  <c r="R43" i="13"/>
  <c r="B43" i="15"/>
  <c r="B43" i="11"/>
  <c r="O43" i="11"/>
  <c r="B43" i="46"/>
  <c r="D43" i="46" s="1"/>
  <c r="B43" i="47"/>
  <c r="D43" i="47" s="1"/>
  <c r="B43" i="48"/>
  <c r="D43" i="48" s="1"/>
  <c r="B43" i="49"/>
  <c r="D43" i="49" s="1"/>
  <c r="C29" i="85"/>
  <c r="O43" i="15"/>
  <c r="P37" i="16"/>
  <c r="B44" i="36" l="1"/>
  <c r="B44" i="33"/>
  <c r="B44" i="31"/>
  <c r="B107" i="84"/>
  <c r="B44" i="30"/>
  <c r="B44" i="26"/>
  <c r="B38" i="77"/>
  <c r="B38" i="75"/>
  <c r="B44" i="35"/>
  <c r="B44" i="29"/>
  <c r="B44" i="40"/>
  <c r="B44" i="32"/>
  <c r="B44" i="28"/>
  <c r="B44" i="39"/>
  <c r="B44" i="27"/>
  <c r="B44" i="34"/>
  <c r="B44" i="25"/>
  <c r="B44" i="24"/>
  <c r="B44" i="37"/>
  <c r="B44" i="38"/>
  <c r="R44" i="14"/>
  <c r="B44" i="14"/>
  <c r="R44" i="12"/>
  <c r="B44" i="23"/>
  <c r="B44" i="19"/>
  <c r="B44" i="20"/>
  <c r="B44" i="17"/>
  <c r="B44" i="12"/>
  <c r="O44" i="12"/>
  <c r="B44" i="21"/>
  <c r="B44" i="18"/>
  <c r="O44" i="14"/>
  <c r="R44" i="13"/>
  <c r="B44" i="13"/>
  <c r="X44" i="15"/>
  <c r="R44" i="16"/>
  <c r="S44" i="11"/>
  <c r="B44" i="16"/>
  <c r="O44" i="13"/>
  <c r="U44" i="16"/>
  <c r="R44" i="15"/>
  <c r="O44" i="16"/>
  <c r="B44" i="11"/>
  <c r="O44" i="15"/>
  <c r="O44" i="11"/>
  <c r="B44" i="47"/>
  <c r="D44" i="47" s="1"/>
  <c r="C30" i="85"/>
  <c r="B44" i="48"/>
  <c r="D44" i="48" s="1"/>
  <c r="B44" i="49"/>
  <c r="D44" i="49" s="1"/>
  <c r="B44" i="46"/>
  <c r="D44" i="46" s="1"/>
  <c r="B44" i="15"/>
  <c r="P38" i="16"/>
  <c r="B45" i="37" l="1"/>
  <c r="B45" i="36"/>
  <c r="B45" i="24"/>
  <c r="B45" i="33"/>
  <c r="B45" i="31"/>
  <c r="B45" i="30"/>
  <c r="B45" i="26"/>
  <c r="B39" i="77"/>
  <c r="B39" i="75"/>
  <c r="B45" i="35"/>
  <c r="B45" i="29"/>
  <c r="B45" i="40"/>
  <c r="B45" i="32"/>
  <c r="B45" i="27"/>
  <c r="B45" i="38"/>
  <c r="B45" i="39"/>
  <c r="B45" i="34"/>
  <c r="B45" i="28"/>
  <c r="B45" i="25"/>
  <c r="B45" i="20"/>
  <c r="B45" i="17"/>
  <c r="R45" i="12"/>
  <c r="O45" i="12"/>
  <c r="R45" i="14"/>
  <c r="B45" i="23"/>
  <c r="B45" i="19"/>
  <c r="B45" i="14"/>
  <c r="O45" i="14"/>
  <c r="B45" i="12"/>
  <c r="B45" i="21"/>
  <c r="B45" i="18"/>
  <c r="O45" i="16"/>
  <c r="R45" i="13"/>
  <c r="B45" i="13"/>
  <c r="R45" i="16"/>
  <c r="X45" i="15"/>
  <c r="S45" i="11"/>
  <c r="B45" i="16"/>
  <c r="O45" i="13"/>
  <c r="U45" i="16"/>
  <c r="R45" i="15"/>
  <c r="B45" i="15"/>
  <c r="B45" i="11"/>
  <c r="O45" i="15"/>
  <c r="B45" i="47"/>
  <c r="D45" i="47" s="1"/>
  <c r="B45" i="46"/>
  <c r="D45" i="46" s="1"/>
  <c r="B45" i="48"/>
  <c r="D45" i="48" s="1"/>
  <c r="B45" i="49"/>
  <c r="D45" i="49" s="1"/>
  <c r="O45" i="11"/>
  <c r="C31" i="85"/>
  <c r="P39" i="16"/>
  <c r="B46" i="38" l="1"/>
  <c r="B46" i="34"/>
  <c r="B46" i="37"/>
  <c r="B46" i="27"/>
  <c r="B40" i="77"/>
  <c r="B109" i="84"/>
  <c r="B46" i="36"/>
  <c r="B46" i="24"/>
  <c r="B46" i="33"/>
  <c r="B46" i="31"/>
  <c r="B40" i="75"/>
  <c r="B46" i="30"/>
  <c r="B46" i="26"/>
  <c r="B46" i="35"/>
  <c r="B46" i="28"/>
  <c r="B46" i="39"/>
  <c r="B46" i="32"/>
  <c r="B46" i="25"/>
  <c r="B46" i="40"/>
  <c r="B46" i="29"/>
  <c r="O46" i="12"/>
  <c r="R46" i="14"/>
  <c r="B46" i="18"/>
  <c r="B46" i="20"/>
  <c r="B46" i="17"/>
  <c r="R46" i="12"/>
  <c r="B46" i="21"/>
  <c r="B46" i="23"/>
  <c r="B46" i="19"/>
  <c r="B46" i="14"/>
  <c r="B46" i="12"/>
  <c r="O46" i="14"/>
  <c r="R46" i="15"/>
  <c r="O46" i="16"/>
  <c r="B46" i="13"/>
  <c r="X46" i="15"/>
  <c r="R46" i="16"/>
  <c r="S46" i="11"/>
  <c r="B46" i="16"/>
  <c r="R46" i="13"/>
  <c r="O46" i="13"/>
  <c r="U46" i="16"/>
  <c r="B46" i="15"/>
  <c r="B46" i="11"/>
  <c r="O46" i="15"/>
  <c r="O46" i="11"/>
  <c r="B46" i="46"/>
  <c r="D46" i="46" s="1"/>
  <c r="B46" i="49"/>
  <c r="D46" i="49" s="1"/>
  <c r="C32" i="85"/>
  <c r="B46" i="47"/>
  <c r="D46" i="47" s="1"/>
  <c r="B46" i="48"/>
  <c r="D46" i="48" s="1"/>
  <c r="P40" i="16"/>
  <c r="B110" i="84" l="1"/>
  <c r="B47" i="39"/>
  <c r="B47" i="38"/>
  <c r="B47" i="34"/>
  <c r="B47" i="37"/>
  <c r="B47" i="27"/>
  <c r="B47" i="36"/>
  <c r="B47" i="24"/>
  <c r="B47" i="33"/>
  <c r="B47" i="31"/>
  <c r="B41" i="75"/>
  <c r="B47" i="35"/>
  <c r="B47" i="32"/>
  <c r="B47" i="30"/>
  <c r="B47" i="29"/>
  <c r="B41" i="77"/>
  <c r="B47" i="28"/>
  <c r="B47" i="25"/>
  <c r="B47" i="26"/>
  <c r="B47" i="40"/>
  <c r="B47" i="18"/>
  <c r="O47" i="14"/>
  <c r="O47" i="12"/>
  <c r="B47" i="20"/>
  <c r="B47" i="17"/>
  <c r="R47" i="14"/>
  <c r="B47" i="21"/>
  <c r="R47" i="12"/>
  <c r="B47" i="23"/>
  <c r="B47" i="19"/>
  <c r="B47" i="14"/>
  <c r="B47" i="12"/>
  <c r="O47" i="13"/>
  <c r="U47" i="16"/>
  <c r="R47" i="15"/>
  <c r="R47" i="13"/>
  <c r="B47" i="13"/>
  <c r="X47" i="15"/>
  <c r="R47" i="16"/>
  <c r="S47" i="11"/>
  <c r="B47" i="16"/>
  <c r="O47" i="16"/>
  <c r="O47" i="11"/>
  <c r="O47" i="15"/>
  <c r="B47" i="15"/>
  <c r="B47" i="11"/>
  <c r="B47" i="47"/>
  <c r="D47" i="47" s="1"/>
  <c r="C33" i="85"/>
  <c r="B47" i="48"/>
  <c r="D47" i="48" s="1"/>
  <c r="B47" i="49"/>
  <c r="D47" i="49" s="1"/>
  <c r="B47" i="46"/>
  <c r="D47" i="46" s="1"/>
  <c r="P41" i="16"/>
  <c r="B48" i="40" l="1"/>
  <c r="B111" i="84"/>
  <c r="B48" i="39"/>
  <c r="B48" i="25"/>
  <c r="B48" i="33"/>
  <c r="B48" i="38"/>
  <c r="B48" i="34"/>
  <c r="B48" i="37"/>
  <c r="B48" i="27"/>
  <c r="B48" i="36"/>
  <c r="B48" i="24"/>
  <c r="B48" i="29"/>
  <c r="B42" i="75"/>
  <c r="B48" i="31"/>
  <c r="B48" i="35"/>
  <c r="B48" i="32"/>
  <c r="B48" i="30"/>
  <c r="B48" i="26"/>
  <c r="B42" i="77"/>
  <c r="B48" i="28"/>
  <c r="B48" i="21"/>
  <c r="B48" i="12"/>
  <c r="B48" i="18"/>
  <c r="O48" i="14"/>
  <c r="O48" i="12"/>
  <c r="B48" i="20"/>
  <c r="B48" i="17"/>
  <c r="R48" i="14"/>
  <c r="B48" i="19"/>
  <c r="R48" i="12"/>
  <c r="B48" i="23"/>
  <c r="B48" i="14"/>
  <c r="B48" i="16"/>
  <c r="U48" i="16"/>
  <c r="O48" i="16"/>
  <c r="R48" i="13"/>
  <c r="B48" i="13"/>
  <c r="X48" i="15"/>
  <c r="R48" i="16"/>
  <c r="R48" i="15"/>
  <c r="S48" i="11"/>
  <c r="B48" i="49"/>
  <c r="D48" i="49" s="1"/>
  <c r="B48" i="46"/>
  <c r="D48" i="46" s="1"/>
  <c r="O48" i="15"/>
  <c r="B48" i="47"/>
  <c r="D48" i="47" s="1"/>
  <c r="O48" i="11"/>
  <c r="B48" i="15"/>
  <c r="B48" i="11"/>
  <c r="B48" i="48"/>
  <c r="D48" i="48" s="1"/>
  <c r="P42" i="16"/>
  <c r="P43" i="16" l="1"/>
  <c r="P44" i="16" l="1"/>
  <c r="P45" i="16" l="1"/>
  <c r="P46" i="16" l="1"/>
  <c r="P47" i="16" l="1"/>
  <c r="P48" i="16" l="1"/>
  <c r="O48" i="13" l="1"/>
  <c r="T20" i="11" l="1"/>
  <c r="T22" i="11"/>
  <c r="T21" i="11" l="1"/>
  <c r="S22" i="15"/>
  <c r="S21" i="15"/>
  <c r="T23" i="11"/>
  <c r="S23" i="15" l="1"/>
  <c r="T24" i="11"/>
  <c r="S24" i="15" l="1"/>
  <c r="T25" i="11"/>
  <c r="S25" i="15" l="1"/>
  <c r="T26" i="11"/>
  <c r="S26" i="15" l="1"/>
  <c r="T27" i="11"/>
  <c r="S27" i="15" l="1"/>
  <c r="T28" i="11"/>
  <c r="S28" i="15" l="1"/>
  <c r="T29" i="11"/>
  <c r="S29" i="15" l="1"/>
  <c r="T30" i="11"/>
  <c r="S30" i="15" l="1"/>
  <c r="T31" i="11"/>
  <c r="S31" i="15" l="1"/>
  <c r="T32" i="11"/>
  <c r="L17" i="10"/>
  <c r="L18" i="10" s="1"/>
  <c r="L16" i="10"/>
  <c r="L15" i="10"/>
  <c r="H17" i="10"/>
  <c r="H18" i="10" s="1"/>
  <c r="H16" i="10"/>
  <c r="H15" i="10"/>
  <c r="C17" i="10"/>
  <c r="C18" i="10" s="1"/>
  <c r="C16" i="10"/>
  <c r="C15" i="10"/>
  <c r="S32" i="15" l="1"/>
  <c r="L24" i="10"/>
  <c r="L21" i="10"/>
  <c r="L22" i="10" s="1"/>
  <c r="L23" i="10" s="1"/>
  <c r="M31" i="10" s="1"/>
  <c r="L19" i="10"/>
  <c r="L20" i="10" s="1"/>
  <c r="H24" i="10"/>
  <c r="H21" i="10"/>
  <c r="H22" i="10" s="1"/>
  <c r="H23" i="10" s="1"/>
  <c r="I31" i="10" s="1"/>
  <c r="H19" i="10"/>
  <c r="C24" i="10"/>
  <c r="C19" i="10"/>
  <c r="C20" i="10" s="1"/>
  <c r="C21" i="10"/>
  <c r="C22" i="10" s="1"/>
  <c r="C23" i="10" s="1"/>
  <c r="D31" i="10" s="1"/>
  <c r="H27" i="10" l="1"/>
  <c r="T33" i="11"/>
  <c r="S33" i="15"/>
  <c r="M27" i="10"/>
  <c r="C27" i="10"/>
  <c r="C33" i="10" s="1"/>
  <c r="D27" i="10"/>
  <c r="M28" i="10"/>
  <c r="L31" i="10"/>
  <c r="L28" i="10"/>
  <c r="L27" i="10"/>
  <c r="L30" i="10"/>
  <c r="L32" i="10"/>
  <c r="M32" i="10"/>
  <c r="M29" i="10"/>
  <c r="M30" i="10"/>
  <c r="L29" i="10"/>
  <c r="H20" i="10"/>
  <c r="I27" i="10" s="1"/>
  <c r="I28" i="10"/>
  <c r="H28" i="10"/>
  <c r="H30" i="10"/>
  <c r="I32" i="10"/>
  <c r="H32" i="10"/>
  <c r="H29" i="10"/>
  <c r="I29" i="10"/>
  <c r="H31" i="10"/>
  <c r="C28" i="10"/>
  <c r="D28" i="10"/>
  <c r="D32" i="10"/>
  <c r="D30" i="10"/>
  <c r="C30" i="10"/>
  <c r="C29" i="10"/>
  <c r="C32" i="10"/>
  <c r="D29" i="10"/>
  <c r="C31" i="10"/>
  <c r="C10" i="25" l="1"/>
  <c r="C13" i="33"/>
  <c r="C10" i="30"/>
  <c r="C5" i="48"/>
  <c r="C50" i="48" s="1"/>
  <c r="G17" i="86" s="1"/>
  <c r="C13" i="35"/>
  <c r="C5" i="49"/>
  <c r="C50" i="49" s="1"/>
  <c r="H17" i="86" s="1"/>
  <c r="C7" i="27"/>
  <c r="C10" i="40"/>
  <c r="C7" i="24"/>
  <c r="C10" i="32"/>
  <c r="C7" i="36"/>
  <c r="C7" i="28"/>
  <c r="C10" i="26"/>
  <c r="C7" i="34"/>
  <c r="C13" i="23"/>
  <c r="C7" i="31"/>
  <c r="C13" i="25"/>
  <c r="C10" i="37"/>
  <c r="C10" i="29"/>
  <c r="C7" i="33"/>
  <c r="C10" i="38"/>
  <c r="C10" i="39"/>
  <c r="C79" i="84"/>
  <c r="C13" i="27"/>
  <c r="C10" i="35"/>
  <c r="C10" i="36"/>
  <c r="C10" i="33"/>
  <c r="C10" i="28"/>
  <c r="C50" i="28" s="1"/>
  <c r="Y17" i="86" s="1"/>
  <c r="C7" i="35"/>
  <c r="C7" i="25"/>
  <c r="C26" i="25" s="1"/>
  <c r="C10" i="27"/>
  <c r="C7" i="39"/>
  <c r="C76" i="84"/>
  <c r="C7" i="37"/>
  <c r="C7" i="29"/>
  <c r="C25" i="29" s="1"/>
  <c r="C13" i="26"/>
  <c r="C10" i="34"/>
  <c r="C7" i="32"/>
  <c r="C7" i="38"/>
  <c r="C13" i="24"/>
  <c r="C13" i="34"/>
  <c r="C10" i="31"/>
  <c r="C7" i="30"/>
  <c r="C50" i="30" s="1"/>
  <c r="AA17" i="86" s="1"/>
  <c r="C7" i="26"/>
  <c r="C25" i="26" s="1"/>
  <c r="C7" i="40"/>
  <c r="C16" i="23"/>
  <c r="C50" i="23" s="1"/>
  <c r="T17" i="86" s="1"/>
  <c r="C13" i="32"/>
  <c r="C10" i="24"/>
  <c r="C7" i="18"/>
  <c r="C7" i="14"/>
  <c r="S7" i="14"/>
  <c r="C10" i="19"/>
  <c r="C9" i="16"/>
  <c r="V9" i="16"/>
  <c r="I33" i="10"/>
  <c r="C9" i="17"/>
  <c r="P9" i="15"/>
  <c r="C9" i="15"/>
  <c r="C9" i="21"/>
  <c r="C20" i="21" s="1"/>
  <c r="Y9" i="15"/>
  <c r="Y36" i="15" s="1"/>
  <c r="AB36" i="15" s="1"/>
  <c r="S9" i="13"/>
  <c r="C10" i="20"/>
  <c r="C50" i="20" s="1"/>
  <c r="R17" i="86" s="1"/>
  <c r="C10" i="12"/>
  <c r="C7" i="13"/>
  <c r="S10" i="12"/>
  <c r="M33" i="10"/>
  <c r="C10" i="18"/>
  <c r="C10" i="14"/>
  <c r="C31" i="14" s="1"/>
  <c r="C7" i="19"/>
  <c r="P10" i="14"/>
  <c r="L33" i="10"/>
  <c r="C10" i="13"/>
  <c r="C7" i="20"/>
  <c r="P9" i="13"/>
  <c r="P7" i="12"/>
  <c r="C7" i="12"/>
  <c r="S9" i="16"/>
  <c r="C9" i="11"/>
  <c r="C12" i="16"/>
  <c r="C29" i="16" s="1"/>
  <c r="P9" i="11"/>
  <c r="D33" i="10"/>
  <c r="M34" i="10"/>
  <c r="C5" i="47"/>
  <c r="C50" i="47" s="1"/>
  <c r="F17" i="86" s="1"/>
  <c r="C5" i="46"/>
  <c r="T34" i="11"/>
  <c r="S34" i="15"/>
  <c r="P35" i="15"/>
  <c r="T35" i="11"/>
  <c r="I30" i="10"/>
  <c r="D34" i="10"/>
  <c r="C26" i="35"/>
  <c r="L34" i="10"/>
  <c r="H33" i="10"/>
  <c r="H34" i="10"/>
  <c r="I34" i="10"/>
  <c r="C34" i="10"/>
  <c r="C108" i="84" l="1"/>
  <c r="C98" i="84"/>
  <c r="C28" i="12"/>
  <c r="V22" i="75" s="1"/>
  <c r="C116" i="84"/>
  <c r="C117" i="84" s="1"/>
  <c r="C50" i="17"/>
  <c r="O17" i="86" s="1"/>
  <c r="C33" i="17"/>
  <c r="C40" i="17"/>
  <c r="C41" i="15"/>
  <c r="C47" i="15"/>
  <c r="C50" i="38"/>
  <c r="AI17" i="86" s="1"/>
  <c r="AI18" i="86" s="1"/>
  <c r="AI19" i="86" s="1"/>
  <c r="C50" i="26"/>
  <c r="O18" i="86"/>
  <c r="O19" i="86" s="1"/>
  <c r="Y18" i="86"/>
  <c r="Y19" i="86" s="1"/>
  <c r="T18" i="86"/>
  <c r="T19" i="86" s="1"/>
  <c r="H18" i="86"/>
  <c r="H19" i="86" s="1"/>
  <c r="G18" i="86"/>
  <c r="G19" i="86" s="1"/>
  <c r="G25" i="86" s="1"/>
  <c r="R18" i="86"/>
  <c r="R19" i="86" s="1"/>
  <c r="AA18" i="86"/>
  <c r="AA19" i="86" s="1"/>
  <c r="F18" i="86"/>
  <c r="F19" i="86" s="1"/>
  <c r="C50" i="24"/>
  <c r="U17" i="86" s="1"/>
  <c r="C26" i="27"/>
  <c r="C50" i="27"/>
  <c r="X17" i="86" s="1"/>
  <c r="C51" i="32"/>
  <c r="AC17" i="86" s="1"/>
  <c r="C50" i="39"/>
  <c r="AJ17" i="86" s="1"/>
  <c r="C50" i="40"/>
  <c r="AK17" i="86" s="1"/>
  <c r="C50" i="35"/>
  <c r="AF17" i="86" s="1"/>
  <c r="W17" i="86"/>
  <c r="C50" i="29"/>
  <c r="Z17" i="86" s="1"/>
  <c r="C26" i="36"/>
  <c r="C50" i="36"/>
  <c r="AG17" i="86" s="1"/>
  <c r="C50" i="31"/>
  <c r="AB17" i="86" s="1"/>
  <c r="C26" i="37"/>
  <c r="C50" i="37"/>
  <c r="AH17" i="86" s="1"/>
  <c r="C50" i="33"/>
  <c r="AD17" i="86" s="1"/>
  <c r="C50" i="34"/>
  <c r="AE17" i="86" s="1"/>
  <c r="C50" i="25"/>
  <c r="V17" i="86" s="1"/>
  <c r="C25" i="38"/>
  <c r="C50" i="13"/>
  <c r="L17" i="86" s="1"/>
  <c r="C50" i="12"/>
  <c r="N17" i="86" s="1"/>
  <c r="C50" i="16"/>
  <c r="K17" i="86" s="1"/>
  <c r="C25" i="19"/>
  <c r="AB19" i="75" s="1"/>
  <c r="C50" i="19"/>
  <c r="Q17" i="86" s="1"/>
  <c r="C25" i="18"/>
  <c r="Z19" i="75" s="1"/>
  <c r="C50" i="18"/>
  <c r="P17" i="86" s="1"/>
  <c r="C50" i="14"/>
  <c r="M17" i="86" s="1"/>
  <c r="C26" i="21"/>
  <c r="C50" i="21"/>
  <c r="S17" i="86" s="1"/>
  <c r="C24" i="11"/>
  <c r="L18" i="75" s="1"/>
  <c r="C50" i="11"/>
  <c r="I17" i="86" s="1"/>
  <c r="C20" i="17"/>
  <c r="X14" i="75" s="1"/>
  <c r="C21" i="17"/>
  <c r="C50" i="46"/>
  <c r="E17" i="86" s="1"/>
  <c r="C29" i="15"/>
  <c r="N23" i="75" s="1"/>
  <c r="C50" i="15"/>
  <c r="J17" i="86" s="1"/>
  <c r="C25" i="34"/>
  <c r="C25" i="23"/>
  <c r="D19" i="77" s="1"/>
  <c r="C26" i="28"/>
  <c r="N20" i="77" s="1"/>
  <c r="C25" i="32"/>
  <c r="V19" i="77" s="1"/>
  <c r="C24" i="33"/>
  <c r="X18" i="77" s="1"/>
  <c r="C26" i="20"/>
  <c r="AD20" i="75" s="1"/>
  <c r="C26" i="24"/>
  <c r="C25" i="39"/>
  <c r="C25" i="21"/>
  <c r="C26" i="31"/>
  <c r="C25" i="30"/>
  <c r="R19" i="77" s="1"/>
  <c r="C25" i="40"/>
  <c r="AL19" i="77" s="1"/>
  <c r="C20" i="39"/>
  <c r="C22" i="39"/>
  <c r="C21" i="39"/>
  <c r="C23" i="39"/>
  <c r="C24" i="39"/>
  <c r="C20" i="31"/>
  <c r="C22" i="31"/>
  <c r="C23" i="31"/>
  <c r="C21" i="31"/>
  <c r="C24" i="31"/>
  <c r="C25" i="31"/>
  <c r="C20" i="38"/>
  <c r="C21" i="38"/>
  <c r="C23" i="38"/>
  <c r="C22" i="38"/>
  <c r="C24" i="38"/>
  <c r="C20" i="23"/>
  <c r="C21" i="23"/>
  <c r="C22" i="23"/>
  <c r="C23" i="23"/>
  <c r="C24" i="23"/>
  <c r="C20" i="27"/>
  <c r="C22" i="27"/>
  <c r="C23" i="27"/>
  <c r="C21" i="27"/>
  <c r="C24" i="27"/>
  <c r="C25" i="27"/>
  <c r="C20" i="32"/>
  <c r="C22" i="32"/>
  <c r="C21" i="32"/>
  <c r="C23" i="32"/>
  <c r="C24" i="32"/>
  <c r="C20" i="25"/>
  <c r="C22" i="25"/>
  <c r="C21" i="25"/>
  <c r="C23" i="25"/>
  <c r="C25" i="25"/>
  <c r="C24" i="25"/>
  <c r="C20" i="34"/>
  <c r="C22" i="34"/>
  <c r="C21" i="34"/>
  <c r="C23" i="34"/>
  <c r="C24" i="34"/>
  <c r="C20" i="40"/>
  <c r="C22" i="40"/>
  <c r="C21" i="40"/>
  <c r="C23" i="40"/>
  <c r="C24" i="40"/>
  <c r="C20" i="35"/>
  <c r="C22" i="35"/>
  <c r="C23" i="35"/>
  <c r="C21" i="35"/>
  <c r="C24" i="35"/>
  <c r="C25" i="35"/>
  <c r="C20" i="26"/>
  <c r="C21" i="26"/>
  <c r="C23" i="26"/>
  <c r="C22" i="26"/>
  <c r="C24" i="26"/>
  <c r="C21" i="33"/>
  <c r="C20" i="33"/>
  <c r="C22" i="33"/>
  <c r="C23" i="33"/>
  <c r="C20" i="28"/>
  <c r="C22" i="28"/>
  <c r="C21" i="28"/>
  <c r="C24" i="28"/>
  <c r="C23" i="28"/>
  <c r="C25" i="28"/>
  <c r="C20" i="30"/>
  <c r="C22" i="30"/>
  <c r="C21" i="30"/>
  <c r="C23" i="30"/>
  <c r="C24" i="30"/>
  <c r="C20" i="29"/>
  <c r="C22" i="29"/>
  <c r="C21" i="29"/>
  <c r="C23" i="29"/>
  <c r="C24" i="29"/>
  <c r="C22" i="36"/>
  <c r="C20" i="36"/>
  <c r="C23" i="36"/>
  <c r="C21" i="36"/>
  <c r="C24" i="36"/>
  <c r="C25" i="36"/>
  <c r="C21" i="37"/>
  <c r="C20" i="37"/>
  <c r="C23" i="37"/>
  <c r="C22" i="37"/>
  <c r="C24" i="37"/>
  <c r="C25" i="37"/>
  <c r="C83" i="84"/>
  <c r="C84" i="84"/>
  <c r="C85" i="84"/>
  <c r="C86" i="84"/>
  <c r="C88" i="84"/>
  <c r="C89" i="84"/>
  <c r="C87" i="84"/>
  <c r="C90" i="84"/>
  <c r="C91" i="84"/>
  <c r="C92" i="84"/>
  <c r="C93" i="84"/>
  <c r="C94" i="84"/>
  <c r="C95" i="84"/>
  <c r="C96" i="84"/>
  <c r="C97" i="84"/>
  <c r="C99" i="84"/>
  <c r="C100" i="84"/>
  <c r="C102" i="84"/>
  <c r="C101" i="84"/>
  <c r="C103" i="84"/>
  <c r="C104" i="84"/>
  <c r="C105" i="84"/>
  <c r="C106" i="84"/>
  <c r="C107" i="84"/>
  <c r="C109" i="84"/>
  <c r="C110" i="84"/>
  <c r="C111" i="84"/>
  <c r="C20" i="24"/>
  <c r="C21" i="24"/>
  <c r="C22" i="24"/>
  <c r="C24" i="24"/>
  <c r="C23" i="24"/>
  <c r="C25" i="24"/>
  <c r="T20" i="77"/>
  <c r="C22" i="17"/>
  <c r="C23" i="17"/>
  <c r="C24" i="17"/>
  <c r="C25" i="17"/>
  <c r="C26" i="17"/>
  <c r="C20" i="11"/>
  <c r="C33" i="11"/>
  <c r="L27" i="75" s="1"/>
  <c r="C21" i="11"/>
  <c r="C22" i="11"/>
  <c r="C23" i="11"/>
  <c r="P20" i="14"/>
  <c r="P21" i="14"/>
  <c r="P22" i="14"/>
  <c r="P23" i="14"/>
  <c r="P24" i="14"/>
  <c r="P25" i="14"/>
  <c r="P26" i="14"/>
  <c r="P27" i="14"/>
  <c r="P28" i="14"/>
  <c r="P29" i="14"/>
  <c r="P30" i="14"/>
  <c r="P31" i="14"/>
  <c r="P32" i="14"/>
  <c r="P33" i="14"/>
  <c r="P34" i="14"/>
  <c r="P35" i="14"/>
  <c r="P36" i="14"/>
  <c r="P37" i="14"/>
  <c r="P38" i="14"/>
  <c r="P39" i="14"/>
  <c r="P40" i="14"/>
  <c r="P41" i="14"/>
  <c r="P42" i="14"/>
  <c r="P43" i="14"/>
  <c r="P44" i="14"/>
  <c r="P45" i="14"/>
  <c r="P46" i="14"/>
  <c r="P47" i="14"/>
  <c r="P48" i="14"/>
  <c r="V22" i="16"/>
  <c r="V21" i="16"/>
  <c r="V20" i="16"/>
  <c r="V23" i="16"/>
  <c r="V24" i="16"/>
  <c r="V25" i="16"/>
  <c r="V26" i="16"/>
  <c r="V27" i="16"/>
  <c r="V28" i="16"/>
  <c r="V29" i="16"/>
  <c r="V30" i="16"/>
  <c r="V31" i="16"/>
  <c r="V32" i="16"/>
  <c r="V33" i="16"/>
  <c r="V34" i="16"/>
  <c r="V35" i="16"/>
  <c r="V36" i="16"/>
  <c r="V37" i="16"/>
  <c r="V38" i="16"/>
  <c r="V39" i="16"/>
  <c r="V40" i="16"/>
  <c r="V41" i="16"/>
  <c r="V42" i="16"/>
  <c r="V43" i="16"/>
  <c r="V44" i="16"/>
  <c r="V45" i="16"/>
  <c r="V46" i="16"/>
  <c r="V47" i="16"/>
  <c r="V48" i="16"/>
  <c r="C28" i="13"/>
  <c r="C44" i="13"/>
  <c r="C39" i="13"/>
  <c r="C24" i="13"/>
  <c r="C47" i="13"/>
  <c r="C46" i="13"/>
  <c r="C29" i="13"/>
  <c r="C30" i="13"/>
  <c r="C38" i="13"/>
  <c r="C23" i="13"/>
  <c r="C26" i="13"/>
  <c r="C36" i="13"/>
  <c r="C22" i="13"/>
  <c r="C33" i="13"/>
  <c r="C21" i="13"/>
  <c r="C40" i="13"/>
  <c r="C48" i="13"/>
  <c r="C45" i="13"/>
  <c r="C41" i="13"/>
  <c r="C35" i="13"/>
  <c r="C20" i="13"/>
  <c r="C43" i="13"/>
  <c r="C42" i="13"/>
  <c r="C31" i="13"/>
  <c r="C25" i="13"/>
  <c r="C34" i="13"/>
  <c r="C27" i="13"/>
  <c r="C32" i="13"/>
  <c r="C37" i="13"/>
  <c r="S20" i="16"/>
  <c r="S22" i="16"/>
  <c r="S23" i="16"/>
  <c r="S21" i="16"/>
  <c r="S24" i="16"/>
  <c r="S25" i="16"/>
  <c r="S26" i="16"/>
  <c r="S27" i="16"/>
  <c r="S28" i="16"/>
  <c r="S29" i="16"/>
  <c r="S30" i="16"/>
  <c r="S31" i="16"/>
  <c r="S32" i="16"/>
  <c r="S33" i="16"/>
  <c r="S34" i="16"/>
  <c r="S35" i="16"/>
  <c r="S36" i="16"/>
  <c r="S37" i="16"/>
  <c r="S38" i="16"/>
  <c r="S39" i="16"/>
  <c r="S40" i="16"/>
  <c r="S41" i="16"/>
  <c r="S42" i="16"/>
  <c r="S43" i="16"/>
  <c r="S44" i="16"/>
  <c r="S45" i="16"/>
  <c r="S46" i="16"/>
  <c r="S47" i="16"/>
  <c r="S48" i="16"/>
  <c r="C22" i="19"/>
  <c r="C20" i="19"/>
  <c r="C21" i="19"/>
  <c r="C23" i="19"/>
  <c r="C24" i="19"/>
  <c r="S21" i="13"/>
  <c r="S20" i="13"/>
  <c r="S22" i="13"/>
  <c r="S23" i="13"/>
  <c r="S24" i="13"/>
  <c r="S25" i="13"/>
  <c r="S26" i="13"/>
  <c r="S27" i="13"/>
  <c r="S28" i="13"/>
  <c r="S29" i="13"/>
  <c r="S30" i="13"/>
  <c r="S31" i="13"/>
  <c r="S32" i="13"/>
  <c r="S33" i="13"/>
  <c r="S34" i="13"/>
  <c r="S35" i="13"/>
  <c r="S36" i="13"/>
  <c r="S37" i="13"/>
  <c r="S38" i="13"/>
  <c r="S39" i="13"/>
  <c r="S40" i="13"/>
  <c r="S41" i="13"/>
  <c r="S42" i="13"/>
  <c r="S43" i="13"/>
  <c r="S44" i="13"/>
  <c r="S45" i="13"/>
  <c r="S46" i="13"/>
  <c r="S47" i="13"/>
  <c r="S48" i="13"/>
  <c r="C24" i="16"/>
  <c r="C23" i="16"/>
  <c r="C26" i="16"/>
  <c r="C25" i="16"/>
  <c r="C20" i="16"/>
  <c r="C22" i="16"/>
  <c r="C21" i="16"/>
  <c r="C27" i="16"/>
  <c r="C28" i="16"/>
  <c r="C20" i="12"/>
  <c r="C24" i="12"/>
  <c r="C23" i="12"/>
  <c r="C25" i="12"/>
  <c r="C21" i="12"/>
  <c r="C22" i="12"/>
  <c r="C26" i="12"/>
  <c r="C27" i="12"/>
  <c r="Y20" i="15"/>
  <c r="AB20" i="15" s="1"/>
  <c r="Y22" i="15"/>
  <c r="AB22" i="15" s="1"/>
  <c r="Y21" i="15"/>
  <c r="AB21" i="15" s="1"/>
  <c r="Y23" i="15"/>
  <c r="AB23" i="15" s="1"/>
  <c r="Y24" i="15"/>
  <c r="AB24" i="15" s="1"/>
  <c r="Y25" i="15"/>
  <c r="AB25" i="15" s="1"/>
  <c r="Y26" i="15"/>
  <c r="AB26" i="15" s="1"/>
  <c r="Y27" i="15"/>
  <c r="AB27" i="15" s="1"/>
  <c r="Y28" i="15"/>
  <c r="AB28" i="15" s="1"/>
  <c r="Y29" i="15"/>
  <c r="AB29" i="15" s="1"/>
  <c r="Y30" i="15"/>
  <c r="AB30" i="15" s="1"/>
  <c r="Y31" i="15"/>
  <c r="AB31" i="15" s="1"/>
  <c r="Y32" i="15"/>
  <c r="AB32" i="15" s="1"/>
  <c r="Y33" i="15"/>
  <c r="AB33" i="15" s="1"/>
  <c r="Y34" i="15"/>
  <c r="AB34" i="15" s="1"/>
  <c r="Y35" i="15"/>
  <c r="AB35" i="15" s="1"/>
  <c r="P22" i="12"/>
  <c r="P23" i="12"/>
  <c r="P20" i="12"/>
  <c r="P21" i="12"/>
  <c r="P24" i="12"/>
  <c r="P25" i="12"/>
  <c r="P26" i="12"/>
  <c r="P27" i="12"/>
  <c r="P28" i="12"/>
  <c r="P29" i="12"/>
  <c r="P30" i="12"/>
  <c r="P31" i="12"/>
  <c r="P32" i="12"/>
  <c r="P33" i="12"/>
  <c r="P34" i="12"/>
  <c r="P35" i="12"/>
  <c r="P36" i="12"/>
  <c r="P37" i="12"/>
  <c r="P38" i="12"/>
  <c r="P39" i="12"/>
  <c r="P40" i="12"/>
  <c r="P41" i="12"/>
  <c r="P42" i="12"/>
  <c r="P43" i="12"/>
  <c r="P44" i="12"/>
  <c r="P45" i="12"/>
  <c r="P46" i="12"/>
  <c r="P47" i="12"/>
  <c r="P48" i="12"/>
  <c r="C21" i="21"/>
  <c r="C22" i="21"/>
  <c r="C23" i="21"/>
  <c r="C24" i="21"/>
  <c r="S20" i="14"/>
  <c r="S21" i="14"/>
  <c r="S22" i="14"/>
  <c r="S23" i="14"/>
  <c r="S24" i="14"/>
  <c r="S25" i="14"/>
  <c r="S26" i="14"/>
  <c r="S27" i="14"/>
  <c r="S28" i="14"/>
  <c r="S29" i="14"/>
  <c r="S30" i="14"/>
  <c r="S31" i="14"/>
  <c r="S32" i="14"/>
  <c r="S33" i="14"/>
  <c r="S34" i="14"/>
  <c r="S35" i="14"/>
  <c r="S36" i="14"/>
  <c r="S37" i="14"/>
  <c r="S38" i="14"/>
  <c r="S39" i="14"/>
  <c r="S40" i="14"/>
  <c r="S41" i="14"/>
  <c r="S42" i="14"/>
  <c r="S43" i="14"/>
  <c r="S44" i="14"/>
  <c r="S45" i="14"/>
  <c r="S46" i="14"/>
  <c r="S47" i="14"/>
  <c r="S48" i="14"/>
  <c r="V48" i="14" s="1"/>
  <c r="P21" i="13"/>
  <c r="V21" i="13" s="1"/>
  <c r="P20" i="13"/>
  <c r="P22" i="13"/>
  <c r="P23" i="13"/>
  <c r="P24" i="13"/>
  <c r="P25" i="13"/>
  <c r="P26" i="13"/>
  <c r="P27" i="13"/>
  <c r="P28" i="13"/>
  <c r="V28" i="13" s="1"/>
  <c r="P29" i="13"/>
  <c r="P30" i="13"/>
  <c r="P31" i="13"/>
  <c r="P32" i="13"/>
  <c r="P33" i="13"/>
  <c r="P34" i="13"/>
  <c r="P35" i="13"/>
  <c r="P36" i="13"/>
  <c r="V36" i="13" s="1"/>
  <c r="P37" i="13"/>
  <c r="P38" i="13"/>
  <c r="P39" i="13"/>
  <c r="P40" i="13"/>
  <c r="P41" i="13"/>
  <c r="P42" i="13"/>
  <c r="P43" i="13"/>
  <c r="P44" i="13"/>
  <c r="V44" i="13" s="1"/>
  <c r="P45" i="13"/>
  <c r="P46" i="13"/>
  <c r="P47" i="13"/>
  <c r="P48" i="13"/>
  <c r="C20" i="15"/>
  <c r="C21" i="15"/>
  <c r="C25" i="15"/>
  <c r="C26" i="15"/>
  <c r="C22" i="15"/>
  <c r="C23" i="15"/>
  <c r="C24" i="15"/>
  <c r="C27" i="15"/>
  <c r="C28" i="15"/>
  <c r="C20" i="14"/>
  <c r="C21" i="14"/>
  <c r="C24" i="14"/>
  <c r="C22" i="14"/>
  <c r="C28" i="14"/>
  <c r="C23" i="14"/>
  <c r="C25" i="14"/>
  <c r="C27" i="14"/>
  <c r="C26" i="14"/>
  <c r="C29" i="14"/>
  <c r="C30" i="14"/>
  <c r="P20" i="11"/>
  <c r="W20" i="11" s="1"/>
  <c r="P22" i="11"/>
  <c r="W22" i="11" s="1"/>
  <c r="P23" i="11"/>
  <c r="W23" i="11" s="1"/>
  <c r="P21" i="11"/>
  <c r="W21" i="11" s="1"/>
  <c r="P24" i="11"/>
  <c r="W24" i="11" s="1"/>
  <c r="P25" i="11"/>
  <c r="W25" i="11" s="1"/>
  <c r="P26" i="11"/>
  <c r="W26" i="11" s="1"/>
  <c r="P27" i="11"/>
  <c r="W27" i="11" s="1"/>
  <c r="P28" i="11"/>
  <c r="W28" i="11" s="1"/>
  <c r="P29" i="11"/>
  <c r="W29" i="11" s="1"/>
  <c r="P30" i="11"/>
  <c r="W30" i="11" s="1"/>
  <c r="P31" i="11"/>
  <c r="W31" i="11" s="1"/>
  <c r="P32" i="11"/>
  <c r="W32" i="11" s="1"/>
  <c r="P33" i="11"/>
  <c r="W33" i="11" s="1"/>
  <c r="P34" i="11"/>
  <c r="W34" i="11" s="1"/>
  <c r="P35" i="11"/>
  <c r="W35" i="11" s="1"/>
  <c r="C21" i="20"/>
  <c r="C20" i="20"/>
  <c r="C22" i="20"/>
  <c r="C24" i="20"/>
  <c r="C23" i="20"/>
  <c r="C25" i="20"/>
  <c r="S22" i="12"/>
  <c r="S20" i="12"/>
  <c r="S23" i="12"/>
  <c r="S21" i="12"/>
  <c r="S24" i="12"/>
  <c r="S25" i="12"/>
  <c r="S26" i="12"/>
  <c r="S27" i="12"/>
  <c r="S28" i="12"/>
  <c r="S29" i="12"/>
  <c r="S30" i="12"/>
  <c r="S31" i="12"/>
  <c r="S32" i="12"/>
  <c r="S33" i="12"/>
  <c r="S34" i="12"/>
  <c r="S35" i="12"/>
  <c r="S36" i="12"/>
  <c r="S37" i="12"/>
  <c r="S38" i="12"/>
  <c r="S39" i="12"/>
  <c r="S40" i="12"/>
  <c r="S41" i="12"/>
  <c r="S42" i="12"/>
  <c r="S43" i="12"/>
  <c r="S44" i="12"/>
  <c r="S45" i="12"/>
  <c r="S46" i="12"/>
  <c r="S47" i="12"/>
  <c r="S48" i="12"/>
  <c r="P20" i="15"/>
  <c r="P22" i="15"/>
  <c r="P21" i="15"/>
  <c r="P23" i="15"/>
  <c r="P24" i="15"/>
  <c r="P25" i="15"/>
  <c r="P26" i="15"/>
  <c r="P27" i="15"/>
  <c r="P28" i="15"/>
  <c r="P29" i="15"/>
  <c r="P30" i="15"/>
  <c r="P31" i="15"/>
  <c r="P32" i="15"/>
  <c r="P34" i="15"/>
  <c r="V34" i="15" s="1"/>
  <c r="P33" i="15"/>
  <c r="C20" i="18"/>
  <c r="C21" i="18"/>
  <c r="C22" i="18"/>
  <c r="C24" i="18"/>
  <c r="C23" i="18"/>
  <c r="T25" i="75"/>
  <c r="P23" i="75"/>
  <c r="C41" i="46"/>
  <c r="D35" i="75" s="1"/>
  <c r="C37" i="46"/>
  <c r="D31" i="75" s="1"/>
  <c r="C39" i="46"/>
  <c r="D33" i="75" s="1"/>
  <c r="C38" i="46"/>
  <c r="D32" i="75" s="1"/>
  <c r="C42" i="46"/>
  <c r="D36" i="75" s="1"/>
  <c r="C36" i="46"/>
  <c r="D30" i="75" s="1"/>
  <c r="C35" i="46"/>
  <c r="D29" i="75" s="1"/>
  <c r="C40" i="46"/>
  <c r="D34" i="75" s="1"/>
  <c r="C43" i="46"/>
  <c r="D37" i="75" s="1"/>
  <c r="C44" i="46"/>
  <c r="D38" i="75" s="1"/>
  <c r="C21" i="46"/>
  <c r="D15" i="75" s="1"/>
  <c r="C45" i="46"/>
  <c r="D39" i="75" s="1"/>
  <c r="C20" i="46"/>
  <c r="D14" i="75" s="1"/>
  <c r="C22" i="46"/>
  <c r="D16" i="75" s="1"/>
  <c r="C23" i="46"/>
  <c r="D17" i="75" s="1"/>
  <c r="C24" i="46"/>
  <c r="D18" i="75" s="1"/>
  <c r="C25" i="46"/>
  <c r="D19" i="75" s="1"/>
  <c r="C46" i="46"/>
  <c r="D40" i="75" s="1"/>
  <c r="C47" i="46"/>
  <c r="D41" i="75" s="1"/>
  <c r="C26" i="46"/>
  <c r="D20" i="75" s="1"/>
  <c r="C48" i="46"/>
  <c r="D42" i="75" s="1"/>
  <c r="C27" i="46"/>
  <c r="D21" i="75" s="1"/>
  <c r="C28" i="46"/>
  <c r="D22" i="75" s="1"/>
  <c r="C29" i="46"/>
  <c r="D23" i="75" s="1"/>
  <c r="C30" i="46"/>
  <c r="D24" i="75" s="1"/>
  <c r="C31" i="46"/>
  <c r="D25" i="75" s="1"/>
  <c r="C32" i="46"/>
  <c r="D26" i="75" s="1"/>
  <c r="C33" i="46"/>
  <c r="D27" i="75" s="1"/>
  <c r="C34" i="46"/>
  <c r="D28" i="75" s="1"/>
  <c r="C41" i="47"/>
  <c r="F35" i="75" s="1"/>
  <c r="C43" i="47"/>
  <c r="F37" i="75" s="1"/>
  <c r="C20" i="47"/>
  <c r="F14" i="75" s="1"/>
  <c r="C44" i="47"/>
  <c r="F38" i="75" s="1"/>
  <c r="C21" i="47"/>
  <c r="F15" i="75" s="1"/>
  <c r="C40" i="47"/>
  <c r="F34" i="75" s="1"/>
  <c r="C39" i="47"/>
  <c r="F33" i="75" s="1"/>
  <c r="C45" i="47"/>
  <c r="F39" i="75" s="1"/>
  <c r="C42" i="47"/>
  <c r="F36" i="75" s="1"/>
  <c r="C36" i="47"/>
  <c r="F30" i="75" s="1"/>
  <c r="C24" i="47"/>
  <c r="F18" i="75" s="1"/>
  <c r="C46" i="47"/>
  <c r="F40" i="75" s="1"/>
  <c r="C37" i="47"/>
  <c r="F31" i="75" s="1"/>
  <c r="C25" i="47"/>
  <c r="F19" i="75" s="1"/>
  <c r="C38" i="47"/>
  <c r="F32" i="75" s="1"/>
  <c r="C22" i="47"/>
  <c r="F16" i="75" s="1"/>
  <c r="C23" i="47"/>
  <c r="F17" i="75" s="1"/>
  <c r="C35" i="47"/>
  <c r="F29" i="75" s="1"/>
  <c r="C47" i="47"/>
  <c r="F41" i="75" s="1"/>
  <c r="C26" i="47"/>
  <c r="F20" i="75" s="1"/>
  <c r="C27" i="47"/>
  <c r="F21" i="75" s="1"/>
  <c r="C48" i="47"/>
  <c r="F42" i="75" s="1"/>
  <c r="C28" i="47"/>
  <c r="F22" i="75" s="1"/>
  <c r="C29" i="47"/>
  <c r="F23" i="75" s="1"/>
  <c r="C30" i="47"/>
  <c r="F24" i="75" s="1"/>
  <c r="C31" i="47"/>
  <c r="F25" i="75" s="1"/>
  <c r="C32" i="47"/>
  <c r="F26" i="75" s="1"/>
  <c r="C33" i="47"/>
  <c r="F27" i="75" s="1"/>
  <c r="C34" i="47"/>
  <c r="F28" i="75" s="1"/>
  <c r="C45" i="49"/>
  <c r="J39" i="75" s="1"/>
  <c r="C38" i="49"/>
  <c r="J32" i="75" s="1"/>
  <c r="C20" i="49"/>
  <c r="J14" i="75" s="1"/>
  <c r="C25" i="49"/>
  <c r="J19" i="75" s="1"/>
  <c r="C21" i="49"/>
  <c r="J15" i="75" s="1"/>
  <c r="C26" i="49"/>
  <c r="J20" i="75" s="1"/>
  <c r="C36" i="49"/>
  <c r="J30" i="75" s="1"/>
  <c r="C34" i="49"/>
  <c r="J28" i="75" s="1"/>
  <c r="C37" i="49"/>
  <c r="J31" i="75" s="1"/>
  <c r="C31" i="49"/>
  <c r="J25" i="75" s="1"/>
  <c r="C30" i="49"/>
  <c r="J24" i="75" s="1"/>
  <c r="C32" i="49"/>
  <c r="J26" i="75" s="1"/>
  <c r="C41" i="49"/>
  <c r="J35" i="75" s="1"/>
  <c r="C27" i="49"/>
  <c r="J21" i="75" s="1"/>
  <c r="C42" i="49"/>
  <c r="J36" i="75" s="1"/>
  <c r="C43" i="49"/>
  <c r="J37" i="75" s="1"/>
  <c r="C23" i="49"/>
  <c r="J17" i="75" s="1"/>
  <c r="C22" i="49"/>
  <c r="J16" i="75" s="1"/>
  <c r="C40" i="49"/>
  <c r="J34" i="75" s="1"/>
  <c r="C29" i="49"/>
  <c r="J23" i="75" s="1"/>
  <c r="C44" i="49"/>
  <c r="J38" i="75" s="1"/>
  <c r="C39" i="49"/>
  <c r="J33" i="75" s="1"/>
  <c r="C46" i="49"/>
  <c r="J40" i="75" s="1"/>
  <c r="C28" i="49"/>
  <c r="J22" i="75" s="1"/>
  <c r="C33" i="49"/>
  <c r="J27" i="75" s="1"/>
  <c r="C35" i="49"/>
  <c r="J29" i="75" s="1"/>
  <c r="C24" i="49"/>
  <c r="J18" i="75" s="1"/>
  <c r="C47" i="49"/>
  <c r="J41" i="75" s="1"/>
  <c r="C48" i="49"/>
  <c r="J42" i="75" s="1"/>
  <c r="C41" i="48"/>
  <c r="H35" i="75" s="1"/>
  <c r="C36" i="48"/>
  <c r="H30" i="75" s="1"/>
  <c r="C35" i="48"/>
  <c r="H29" i="75" s="1"/>
  <c r="C42" i="48"/>
  <c r="H36" i="75" s="1"/>
  <c r="C39" i="48"/>
  <c r="H33" i="75" s="1"/>
  <c r="C38" i="48"/>
  <c r="H32" i="75" s="1"/>
  <c r="C37" i="48"/>
  <c r="H31" i="75" s="1"/>
  <c r="C40" i="48"/>
  <c r="H34" i="75" s="1"/>
  <c r="C43" i="48"/>
  <c r="H37" i="75" s="1"/>
  <c r="C44" i="48"/>
  <c r="H38" i="75" s="1"/>
  <c r="C22" i="48"/>
  <c r="H16" i="75" s="1"/>
  <c r="C26" i="48"/>
  <c r="H20" i="75" s="1"/>
  <c r="C30" i="48"/>
  <c r="H24" i="75" s="1"/>
  <c r="C34" i="48"/>
  <c r="H28" i="75" s="1"/>
  <c r="C20" i="48"/>
  <c r="H14" i="75" s="1"/>
  <c r="C23" i="48"/>
  <c r="H17" i="75" s="1"/>
  <c r="C27" i="48"/>
  <c r="H21" i="75" s="1"/>
  <c r="C31" i="48"/>
  <c r="H25" i="75" s="1"/>
  <c r="C29" i="48"/>
  <c r="H23" i="75" s="1"/>
  <c r="C24" i="48"/>
  <c r="H18" i="75" s="1"/>
  <c r="C28" i="48"/>
  <c r="H22" i="75" s="1"/>
  <c r="C32" i="48"/>
  <c r="H26" i="75" s="1"/>
  <c r="C21" i="48"/>
  <c r="H15" i="75" s="1"/>
  <c r="C45" i="48"/>
  <c r="H39" i="75" s="1"/>
  <c r="C25" i="48"/>
  <c r="H19" i="75" s="1"/>
  <c r="C33" i="48"/>
  <c r="H27" i="75" s="1"/>
  <c r="C46" i="48"/>
  <c r="H40" i="75" s="1"/>
  <c r="C47" i="48"/>
  <c r="H41" i="75" s="1"/>
  <c r="C48" i="48"/>
  <c r="H42" i="75" s="1"/>
  <c r="AJ19" i="77"/>
  <c r="AH19" i="77"/>
  <c r="AF20" i="77"/>
  <c r="AD20" i="77"/>
  <c r="AB20" i="77"/>
  <c r="Z19" i="77"/>
  <c r="P19" i="77"/>
  <c r="L20" i="77"/>
  <c r="J19" i="77"/>
  <c r="H20" i="77"/>
  <c r="F20" i="77"/>
  <c r="AF20" i="75"/>
  <c r="X20" i="75"/>
  <c r="V24" i="11"/>
  <c r="Y37" i="15"/>
  <c r="AB37" i="15" s="1"/>
  <c r="S35" i="15"/>
  <c r="V35" i="15" s="1"/>
  <c r="P36" i="15"/>
  <c r="T36" i="11"/>
  <c r="P36" i="11"/>
  <c r="C26" i="26"/>
  <c r="C25" i="11"/>
  <c r="L19" i="75" s="1"/>
  <c r="C25" i="33"/>
  <c r="C26" i="23"/>
  <c r="C30" i="16"/>
  <c r="C30" i="15"/>
  <c r="N24" i="75" s="1"/>
  <c r="C32" i="14"/>
  <c r="C26" i="40"/>
  <c r="C26" i="39"/>
  <c r="C26" i="38"/>
  <c r="C27" i="37"/>
  <c r="C27" i="36"/>
  <c r="C27" i="35"/>
  <c r="C26" i="34"/>
  <c r="C26" i="32"/>
  <c r="C27" i="31"/>
  <c r="C26" i="30"/>
  <c r="C26" i="29"/>
  <c r="C27" i="28"/>
  <c r="C27" i="27"/>
  <c r="C27" i="25"/>
  <c r="C27" i="24"/>
  <c r="C27" i="21"/>
  <c r="C27" i="20"/>
  <c r="AD21" i="75" s="1"/>
  <c r="C26" i="19"/>
  <c r="C26" i="18"/>
  <c r="C27" i="17"/>
  <c r="C29" i="12"/>
  <c r="V23" i="75" s="1"/>
  <c r="C118" i="84" l="1"/>
  <c r="F25" i="86"/>
  <c r="F21" i="86"/>
  <c r="V47" i="13"/>
  <c r="V39" i="13"/>
  <c r="V31" i="13"/>
  <c r="V23" i="13"/>
  <c r="U23" i="13" s="1"/>
  <c r="J18" i="86"/>
  <c r="J19" i="86" s="1"/>
  <c r="X18" i="86"/>
  <c r="X19" i="86" s="1"/>
  <c r="M18" i="86"/>
  <c r="M19" i="86" s="1"/>
  <c r="L18" i="86"/>
  <c r="L19" i="86" s="1"/>
  <c r="P18" i="86"/>
  <c r="P19" i="86" s="1"/>
  <c r="V18" i="86"/>
  <c r="V19" i="86" s="1"/>
  <c r="Z18" i="86"/>
  <c r="Z19" i="86" s="1"/>
  <c r="U18" i="86"/>
  <c r="U19" i="86" s="1"/>
  <c r="AG18" i="86"/>
  <c r="AG19" i="86" s="1"/>
  <c r="AE18" i="86"/>
  <c r="AE19" i="86" s="1"/>
  <c r="W18" i="86"/>
  <c r="W19" i="86" s="1"/>
  <c r="Q18" i="86"/>
  <c r="Q19" i="86" s="1"/>
  <c r="AD18" i="86"/>
  <c r="AD19" i="86" s="1"/>
  <c r="AF18" i="86"/>
  <c r="AF19" i="86" s="1"/>
  <c r="I18" i="86"/>
  <c r="I19" i="86" s="1"/>
  <c r="AH18" i="86"/>
  <c r="AH19" i="86" s="1"/>
  <c r="AK18" i="86"/>
  <c r="AK19" i="86" s="1"/>
  <c r="AJ18" i="86"/>
  <c r="AJ19" i="86" s="1"/>
  <c r="K18" i="86"/>
  <c r="K19" i="86" s="1"/>
  <c r="S18" i="86"/>
  <c r="S19" i="86" s="1"/>
  <c r="N18" i="86"/>
  <c r="N19" i="86" s="1"/>
  <c r="AB18" i="86"/>
  <c r="AB19" i="86" s="1"/>
  <c r="AC18" i="86"/>
  <c r="AC19" i="86" s="1"/>
  <c r="V42" i="13"/>
  <c r="V34" i="13"/>
  <c r="U34" i="13" s="1"/>
  <c r="V26" i="13"/>
  <c r="U26" i="13" s="1"/>
  <c r="AA34" i="15"/>
  <c r="V23" i="11"/>
  <c r="V43" i="13"/>
  <c r="V35" i="13"/>
  <c r="U35" i="13" s="1"/>
  <c r="V27" i="13"/>
  <c r="U27" i="13" s="1"/>
  <c r="AF19" i="75"/>
  <c r="G14" i="75"/>
  <c r="G5" i="76" s="1"/>
  <c r="F7" i="86" s="1"/>
  <c r="V45" i="13"/>
  <c r="U45" i="13" s="1"/>
  <c r="V37" i="13"/>
  <c r="U37" i="13" s="1"/>
  <c r="V29" i="13"/>
  <c r="U29" i="13" s="1"/>
  <c r="V20" i="13"/>
  <c r="V21" i="11"/>
  <c r="V48" i="13"/>
  <c r="U48" i="13" s="1"/>
  <c r="V40" i="13"/>
  <c r="V32" i="13"/>
  <c r="U32" i="13" s="1"/>
  <c r="V24" i="13"/>
  <c r="U24" i="13" s="1"/>
  <c r="V22" i="11"/>
  <c r="V41" i="13"/>
  <c r="U41" i="13" s="1"/>
  <c r="V33" i="13"/>
  <c r="U33" i="13" s="1"/>
  <c r="V25" i="13"/>
  <c r="U25" i="13" s="1"/>
  <c r="Y21" i="16"/>
  <c r="X21" i="16" s="1"/>
  <c r="Y42" i="16"/>
  <c r="Y34" i="16"/>
  <c r="Y26" i="16"/>
  <c r="X26" i="16" s="1"/>
  <c r="V47" i="14"/>
  <c r="V39" i="14"/>
  <c r="V31" i="14"/>
  <c r="U31" i="14" s="1"/>
  <c r="V23" i="14"/>
  <c r="U23" i="14" s="1"/>
  <c r="AF17" i="77"/>
  <c r="AD16" i="77"/>
  <c r="R15" i="77"/>
  <c r="N14" i="77"/>
  <c r="J15" i="77"/>
  <c r="AL18" i="77"/>
  <c r="Z16" i="77"/>
  <c r="V18" i="77"/>
  <c r="L17" i="77"/>
  <c r="AH18" i="77"/>
  <c r="T17" i="77"/>
  <c r="V47" i="12"/>
  <c r="V39" i="12"/>
  <c r="V31" i="12"/>
  <c r="V21" i="12"/>
  <c r="U21" i="12" s="1"/>
  <c r="F19" i="77"/>
  <c r="AF14" i="77"/>
  <c r="P18" i="77"/>
  <c r="R16" i="77"/>
  <c r="X17" i="77"/>
  <c r="J14" i="77"/>
  <c r="AL17" i="77"/>
  <c r="Z14" i="77"/>
  <c r="V17" i="77"/>
  <c r="L16" i="77"/>
  <c r="AH16" i="77"/>
  <c r="T16" i="77"/>
  <c r="F17" i="77"/>
  <c r="AF15" i="77"/>
  <c r="P17" i="77"/>
  <c r="R14" i="77"/>
  <c r="X16" i="77"/>
  <c r="AB19" i="77"/>
  <c r="AL15" i="77"/>
  <c r="H18" i="77"/>
  <c r="V15" i="77"/>
  <c r="L14" i="77"/>
  <c r="AH17" i="77"/>
  <c r="T14" i="77"/>
  <c r="K14" i="75"/>
  <c r="K5" i="76" s="1"/>
  <c r="H7" i="86" s="1"/>
  <c r="H21" i="86" s="1"/>
  <c r="F18" i="77"/>
  <c r="AD19" i="77"/>
  <c r="P15" i="77"/>
  <c r="N19" i="77"/>
  <c r="X14" i="77"/>
  <c r="AB18" i="77"/>
  <c r="AL16" i="77"/>
  <c r="H19" i="77"/>
  <c r="V16" i="77"/>
  <c r="D18" i="77"/>
  <c r="AH15" i="77"/>
  <c r="AJ18" i="77"/>
  <c r="F16" i="77"/>
  <c r="AD18" i="77"/>
  <c r="P16" i="77"/>
  <c r="N17" i="77"/>
  <c r="X15" i="77"/>
  <c r="AB15" i="77"/>
  <c r="AL14" i="77"/>
  <c r="H17" i="77"/>
  <c r="V14" i="77"/>
  <c r="D17" i="77"/>
  <c r="AH14" i="77"/>
  <c r="AJ17" i="77"/>
  <c r="F15" i="77"/>
  <c r="AF19" i="77"/>
  <c r="AD15" i="77"/>
  <c r="P14" i="77"/>
  <c r="N18" i="77"/>
  <c r="J18" i="77"/>
  <c r="AB17" i="77"/>
  <c r="Z18" i="77"/>
  <c r="H15" i="77"/>
  <c r="L19" i="77"/>
  <c r="D16" i="77"/>
  <c r="T19" i="77"/>
  <c r="AJ15" i="77"/>
  <c r="F14" i="77"/>
  <c r="AF18" i="77"/>
  <c r="AD17" i="77"/>
  <c r="R18" i="77"/>
  <c r="N15" i="77"/>
  <c r="J16" i="77"/>
  <c r="AB16" i="77"/>
  <c r="Z17" i="77"/>
  <c r="H16" i="77"/>
  <c r="L18" i="77"/>
  <c r="D15" i="77"/>
  <c r="T18" i="77"/>
  <c r="AJ16" i="77"/>
  <c r="AF16" i="77"/>
  <c r="AD14" i="77"/>
  <c r="R17" i="77"/>
  <c r="N16" i="77"/>
  <c r="J17" i="77"/>
  <c r="AB14" i="77"/>
  <c r="Z15" i="77"/>
  <c r="H14" i="77"/>
  <c r="L15" i="77"/>
  <c r="D14" i="77"/>
  <c r="T15" i="77"/>
  <c r="AJ14" i="77"/>
  <c r="E5" i="76"/>
  <c r="E7" i="86" s="1"/>
  <c r="I14" i="75"/>
  <c r="I5" i="76" s="1"/>
  <c r="G7" i="86" s="1"/>
  <c r="G21" i="86" s="1"/>
  <c r="T21" i="77"/>
  <c r="AA29" i="15"/>
  <c r="V29" i="15"/>
  <c r="U29" i="15" s="1"/>
  <c r="AD18" i="75"/>
  <c r="R38" i="75"/>
  <c r="U44" i="13"/>
  <c r="L14" i="75"/>
  <c r="Z14" i="75"/>
  <c r="V27" i="15"/>
  <c r="U27" i="15" s="1"/>
  <c r="AA27" i="15"/>
  <c r="AD16" i="75"/>
  <c r="T17" i="75"/>
  <c r="N18" i="75"/>
  <c r="V46" i="12"/>
  <c r="V38" i="12"/>
  <c r="V30" i="12"/>
  <c r="V20" i="12"/>
  <c r="U20" i="12" s="1"/>
  <c r="V19" i="75"/>
  <c r="P14" i="75"/>
  <c r="R19" i="75"/>
  <c r="R42" i="75"/>
  <c r="R32" i="75"/>
  <c r="R22" i="75"/>
  <c r="U28" i="13"/>
  <c r="Y41" i="16"/>
  <c r="Y33" i="16"/>
  <c r="Y25" i="16"/>
  <c r="X25" i="16" s="1"/>
  <c r="V46" i="14"/>
  <c r="V38" i="14"/>
  <c r="V30" i="14"/>
  <c r="U30" i="14" s="1"/>
  <c r="V22" i="14"/>
  <c r="U22" i="14" s="1"/>
  <c r="AA28" i="15"/>
  <c r="V28" i="15"/>
  <c r="U28" i="15" s="1"/>
  <c r="P16" i="75"/>
  <c r="R17" i="75"/>
  <c r="V33" i="15"/>
  <c r="AA33" i="15"/>
  <c r="AA26" i="15"/>
  <c r="V26" i="15"/>
  <c r="U26" i="15" s="1"/>
  <c r="AD14" i="75"/>
  <c r="T22" i="75"/>
  <c r="N17" i="75"/>
  <c r="V46" i="13"/>
  <c r="U46" i="13" s="1"/>
  <c r="V38" i="13"/>
  <c r="U38" i="13" s="1"/>
  <c r="V30" i="13"/>
  <c r="U30" i="13" s="1"/>
  <c r="V22" i="13"/>
  <c r="AF18" i="75"/>
  <c r="V45" i="12"/>
  <c r="V37" i="12"/>
  <c r="V29" i="12"/>
  <c r="U29" i="12" s="1"/>
  <c r="V23" i="12"/>
  <c r="U23" i="12" s="1"/>
  <c r="V17" i="75"/>
  <c r="P19" i="75"/>
  <c r="R25" i="75"/>
  <c r="U31" i="13"/>
  <c r="R34" i="75"/>
  <c r="U40" i="13"/>
  <c r="R24" i="75"/>
  <c r="Y48" i="16"/>
  <c r="Y40" i="16"/>
  <c r="Y32" i="16"/>
  <c r="Y24" i="16"/>
  <c r="X24" i="16" s="1"/>
  <c r="V45" i="14"/>
  <c r="V37" i="14"/>
  <c r="V29" i="14"/>
  <c r="U29" i="14" s="1"/>
  <c r="V21" i="14"/>
  <c r="U21" i="14" s="1"/>
  <c r="T19" i="75"/>
  <c r="R39" i="75"/>
  <c r="AA25" i="15"/>
  <c r="V25" i="15"/>
  <c r="U25" i="15" s="1"/>
  <c r="AD15" i="75"/>
  <c r="V20" i="11"/>
  <c r="T16" i="75"/>
  <c r="N16" i="75"/>
  <c r="AF17" i="75"/>
  <c r="V44" i="12"/>
  <c r="V36" i="12"/>
  <c r="V28" i="12"/>
  <c r="U28" i="12" s="1"/>
  <c r="V22" i="12"/>
  <c r="V18" i="75"/>
  <c r="P20" i="75"/>
  <c r="AB18" i="75"/>
  <c r="R36" i="75"/>
  <c r="U42" i="13"/>
  <c r="R15" i="75"/>
  <c r="U21" i="13"/>
  <c r="R23" i="75"/>
  <c r="Y47" i="16"/>
  <c r="Y39" i="16"/>
  <c r="Y31" i="16"/>
  <c r="Y23" i="16"/>
  <c r="X23" i="16" s="1"/>
  <c r="V44" i="14"/>
  <c r="V36" i="14"/>
  <c r="V28" i="14"/>
  <c r="U28" i="14" s="1"/>
  <c r="V20" i="14"/>
  <c r="U20" i="14" s="1"/>
  <c r="X19" i="75"/>
  <c r="V22" i="15"/>
  <c r="U22" i="15" s="1"/>
  <c r="AA22" i="15"/>
  <c r="V20" i="15"/>
  <c r="U20" i="15" s="1"/>
  <c r="AA20" i="15"/>
  <c r="V15" i="75"/>
  <c r="V32" i="15"/>
  <c r="AA32" i="15"/>
  <c r="AA24" i="15"/>
  <c r="V24" i="15"/>
  <c r="U24" i="15" s="1"/>
  <c r="T24" i="75"/>
  <c r="T18" i="75"/>
  <c r="N20" i="75"/>
  <c r="AF16" i="75"/>
  <c r="V43" i="12"/>
  <c r="V35" i="12"/>
  <c r="V27" i="12"/>
  <c r="U27" i="12" s="1"/>
  <c r="V14" i="75"/>
  <c r="P17" i="75"/>
  <c r="AB17" i="75"/>
  <c r="R37" i="75"/>
  <c r="U43" i="13"/>
  <c r="R27" i="75"/>
  <c r="R40" i="75"/>
  <c r="Y46" i="16"/>
  <c r="Y38" i="16"/>
  <c r="Y30" i="16"/>
  <c r="X30" i="16" s="1"/>
  <c r="Y20" i="16"/>
  <c r="X20" i="16" s="1"/>
  <c r="V43" i="14"/>
  <c r="V35" i="14"/>
  <c r="V27" i="14"/>
  <c r="U27" i="14" s="1"/>
  <c r="L17" i="75"/>
  <c r="X18" i="75"/>
  <c r="Z15" i="75"/>
  <c r="Z17" i="75"/>
  <c r="V31" i="15"/>
  <c r="AA31" i="15"/>
  <c r="AA23" i="15"/>
  <c r="V23" i="15"/>
  <c r="U23" i="15" s="1"/>
  <c r="T23" i="75"/>
  <c r="T15" i="75"/>
  <c r="N19" i="75"/>
  <c r="AF15" i="75"/>
  <c r="V42" i="12"/>
  <c r="V34" i="12"/>
  <c r="V26" i="12"/>
  <c r="U26" i="12" s="1"/>
  <c r="V21" i="75"/>
  <c r="P22" i="75"/>
  <c r="P18" i="75"/>
  <c r="AB15" i="75"/>
  <c r="R31" i="75"/>
  <c r="R14" i="75"/>
  <c r="U20" i="13"/>
  <c r="R16" i="75"/>
  <c r="U22" i="13"/>
  <c r="R41" i="75"/>
  <c r="U47" i="13"/>
  <c r="Y45" i="16"/>
  <c r="Y37" i="16"/>
  <c r="Y29" i="16"/>
  <c r="X29" i="16" s="1"/>
  <c r="V42" i="14"/>
  <c r="V34" i="14"/>
  <c r="V26" i="14"/>
  <c r="U26" i="14" s="1"/>
  <c r="L16" i="75"/>
  <c r="X17" i="75"/>
  <c r="Z16" i="75"/>
  <c r="N21" i="75"/>
  <c r="R28" i="75"/>
  <c r="Z18" i="75"/>
  <c r="V30" i="15"/>
  <c r="U30" i="15" s="1"/>
  <c r="AA30" i="15"/>
  <c r="AA21" i="15"/>
  <c r="V21" i="15"/>
  <c r="U21" i="15" s="1"/>
  <c r="AD19" i="75"/>
  <c r="T20" i="75"/>
  <c r="T14" i="75"/>
  <c r="N15" i="75"/>
  <c r="AF14" i="75"/>
  <c r="V41" i="12"/>
  <c r="V33" i="12"/>
  <c r="V25" i="12"/>
  <c r="U25" i="12" s="1"/>
  <c r="V20" i="75"/>
  <c r="P21" i="75"/>
  <c r="AB14" i="75"/>
  <c r="R26" i="75"/>
  <c r="R29" i="75"/>
  <c r="R30" i="75"/>
  <c r="U36" i="13"/>
  <c r="R18" i="75"/>
  <c r="Y44" i="16"/>
  <c r="Y36" i="16"/>
  <c r="Y28" i="16"/>
  <c r="X28" i="16" s="1"/>
  <c r="Y22" i="16"/>
  <c r="X22" i="16" s="1"/>
  <c r="V41" i="14"/>
  <c r="V33" i="14"/>
  <c r="V25" i="14"/>
  <c r="U25" i="14" s="1"/>
  <c r="L15" i="75"/>
  <c r="X15" i="75"/>
  <c r="AD17" i="75"/>
  <c r="T21" i="75"/>
  <c r="N22" i="75"/>
  <c r="N14" i="75"/>
  <c r="V48" i="12"/>
  <c r="V40" i="12"/>
  <c r="V32" i="12"/>
  <c r="V24" i="12"/>
  <c r="U24" i="12" s="1"/>
  <c r="V16" i="75"/>
  <c r="U22" i="12"/>
  <c r="P15" i="75"/>
  <c r="AB16" i="75"/>
  <c r="R21" i="75"/>
  <c r="R35" i="75"/>
  <c r="R20" i="75"/>
  <c r="R33" i="75"/>
  <c r="U39" i="13"/>
  <c r="Y43" i="16"/>
  <c r="Y35" i="16"/>
  <c r="Y27" i="16"/>
  <c r="X27" i="16" s="1"/>
  <c r="V40" i="14"/>
  <c r="V32" i="14"/>
  <c r="U32" i="14" s="1"/>
  <c r="V24" i="14"/>
  <c r="U24" i="14" s="1"/>
  <c r="X16" i="75"/>
  <c r="D20" i="77"/>
  <c r="T26" i="75"/>
  <c r="P24" i="75"/>
  <c r="AL20" i="77"/>
  <c r="AJ20" i="77"/>
  <c r="AH20" i="77"/>
  <c r="AF21" i="77"/>
  <c r="AD21" i="77"/>
  <c r="AB21" i="77"/>
  <c r="Z20" i="77"/>
  <c r="X19" i="77"/>
  <c r="V20" i="77"/>
  <c r="R20" i="77"/>
  <c r="P20" i="77"/>
  <c r="N21" i="77"/>
  <c r="L21" i="77"/>
  <c r="J20" i="77"/>
  <c r="H21" i="77"/>
  <c r="F21" i="77"/>
  <c r="AF21" i="75"/>
  <c r="AB20" i="75"/>
  <c r="Z20" i="75"/>
  <c r="X21" i="75"/>
  <c r="AA35" i="15"/>
  <c r="W36" i="11"/>
  <c r="V25" i="11"/>
  <c r="Y38" i="15"/>
  <c r="AB38" i="15" s="1"/>
  <c r="S36" i="15"/>
  <c r="V36" i="15" s="1"/>
  <c r="P37" i="15"/>
  <c r="T37" i="11"/>
  <c r="P37" i="11"/>
  <c r="C27" i="26"/>
  <c r="C26" i="11"/>
  <c r="L20" i="75" s="1"/>
  <c r="C26" i="33"/>
  <c r="C27" i="23"/>
  <c r="C31" i="16"/>
  <c r="C31" i="15"/>
  <c r="N25" i="75" s="1"/>
  <c r="C33" i="14"/>
  <c r="C27" i="40"/>
  <c r="C27" i="39"/>
  <c r="C27" i="38"/>
  <c r="C28" i="37"/>
  <c r="C28" i="36"/>
  <c r="C28" i="35"/>
  <c r="C27" i="34"/>
  <c r="C27" i="32"/>
  <c r="C28" i="31"/>
  <c r="C27" i="30"/>
  <c r="C27" i="29"/>
  <c r="C28" i="28"/>
  <c r="C28" i="27"/>
  <c r="C28" i="25"/>
  <c r="C28" i="24"/>
  <c r="C28" i="21"/>
  <c r="C28" i="20"/>
  <c r="AD22" i="75" s="1"/>
  <c r="C27" i="19"/>
  <c r="C27" i="18"/>
  <c r="C28" i="17"/>
  <c r="C30" i="12"/>
  <c r="V24" i="75" s="1"/>
  <c r="G14" i="77" l="1"/>
  <c r="G5" i="78" s="1"/>
  <c r="U7" i="86" s="1"/>
  <c r="U21" i="86" s="1"/>
  <c r="O14" i="75"/>
  <c r="O5" i="76" s="1"/>
  <c r="J7" i="86" s="1"/>
  <c r="J21" i="86" s="1"/>
  <c r="AK14" i="77"/>
  <c r="AK5" i="78" s="1"/>
  <c r="AJ7" i="86" s="1"/>
  <c r="AJ21" i="86" s="1"/>
  <c r="Q14" i="77"/>
  <c r="Q5" i="78" s="1"/>
  <c r="Z7" i="86" s="1"/>
  <c r="Z21" i="86" s="1"/>
  <c r="O14" i="77"/>
  <c r="O5" i="78" s="1"/>
  <c r="Y7" i="86" s="1"/>
  <c r="Y21" i="86" s="1"/>
  <c r="AE14" i="77"/>
  <c r="AE5" i="78" s="1"/>
  <c r="AG7" i="86" s="1"/>
  <c r="AG21" i="86" s="1"/>
  <c r="AI14" i="77"/>
  <c r="AI5" i="78" s="1"/>
  <c r="AI7" i="86" s="1"/>
  <c r="AI21" i="86" s="1"/>
  <c r="S14" i="77"/>
  <c r="S5" i="78" s="1"/>
  <c r="AA7" i="86" s="1"/>
  <c r="AA21" i="86" s="1"/>
  <c r="AG14" i="77"/>
  <c r="AG5" i="78" s="1"/>
  <c r="AH7" i="86" s="1"/>
  <c r="AH21" i="86" s="1"/>
  <c r="U20" i="75"/>
  <c r="U6" i="76" s="1"/>
  <c r="M8" i="86" s="1"/>
  <c r="M22" i="86" s="1"/>
  <c r="U14" i="75"/>
  <c r="U5" i="76" s="1"/>
  <c r="M7" i="86" s="1"/>
  <c r="M21" i="86" s="1"/>
  <c r="U14" i="77"/>
  <c r="U5" i="78" s="1"/>
  <c r="AB7" i="86" s="1"/>
  <c r="AB21" i="86" s="1"/>
  <c r="I14" i="77"/>
  <c r="I5" i="78" s="1"/>
  <c r="V7" i="86" s="1"/>
  <c r="V21" i="86" s="1"/>
  <c r="AG14" i="75"/>
  <c r="AG5" i="76" s="1"/>
  <c r="S7" i="86" s="1"/>
  <c r="S21" i="86" s="1"/>
  <c r="M14" i="77"/>
  <c r="M5" i="78" s="1"/>
  <c r="X7" i="86" s="1"/>
  <c r="X21" i="86" s="1"/>
  <c r="Y14" i="75"/>
  <c r="Y5" i="76" s="1"/>
  <c r="O7" i="86" s="1"/>
  <c r="O21" i="86" s="1"/>
  <c r="AC14" i="77"/>
  <c r="AC5" i="78" s="1"/>
  <c r="AF7" i="86" s="1"/>
  <c r="AF21" i="86" s="1"/>
  <c r="T22" i="77"/>
  <c r="S31" i="75"/>
  <c r="S8" i="76" s="1"/>
  <c r="L10" i="86" s="1"/>
  <c r="L24" i="86" s="1"/>
  <c r="S36" i="75"/>
  <c r="S9" i="76" s="1"/>
  <c r="L11" i="86" s="1"/>
  <c r="L25" i="86" s="1"/>
  <c r="Q14" i="75"/>
  <c r="Q5" i="76" s="1"/>
  <c r="K7" i="86" s="1"/>
  <c r="K21" i="86" s="1"/>
  <c r="S20" i="75"/>
  <c r="S6" i="76" s="1"/>
  <c r="L8" i="86" s="1"/>
  <c r="L22" i="86" s="1"/>
  <c r="W14" i="75"/>
  <c r="W5" i="76" s="1"/>
  <c r="N7" i="86" s="1"/>
  <c r="N21" i="86" s="1"/>
  <c r="AE14" i="75"/>
  <c r="AE5" i="76" s="1"/>
  <c r="R7" i="86" s="1"/>
  <c r="R21" i="86" s="1"/>
  <c r="S14" i="75"/>
  <c r="S5" i="76" s="1"/>
  <c r="L7" i="86" s="1"/>
  <c r="L21" i="86" s="1"/>
  <c r="AA14" i="75"/>
  <c r="AA5" i="76" s="1"/>
  <c r="P7" i="86" s="1"/>
  <c r="P21" i="86" s="1"/>
  <c r="F32" i="86" s="1"/>
  <c r="S25" i="75"/>
  <c r="S7" i="76" s="1"/>
  <c r="L9" i="86" s="1"/>
  <c r="L23" i="86" s="1"/>
  <c r="D21" i="77"/>
  <c r="E14" i="77"/>
  <c r="E5" i="78" s="1"/>
  <c r="T7" i="86" s="1"/>
  <c r="T21" i="86" s="1"/>
  <c r="U33" i="14"/>
  <c r="T27" i="75"/>
  <c r="X31" i="16"/>
  <c r="P25" i="75"/>
  <c r="Q20" i="75" s="1"/>
  <c r="Q6" i="76" s="1"/>
  <c r="K8" i="86" s="1"/>
  <c r="K22" i="86" s="1"/>
  <c r="F44" i="86" s="1"/>
  <c r="O20" i="75"/>
  <c r="O6" i="76" s="1"/>
  <c r="J8" i="86" s="1"/>
  <c r="J22" i="86" s="1"/>
  <c r="M14" i="75"/>
  <c r="M5" i="76" s="1"/>
  <c r="I7" i="86" s="1"/>
  <c r="I21" i="86" s="1"/>
  <c r="E43" i="86" s="1"/>
  <c r="AL21" i="77"/>
  <c r="AM14" i="77"/>
  <c r="AM5" i="78" s="1"/>
  <c r="AK7" i="86" s="1"/>
  <c r="AK21" i="86" s="1"/>
  <c r="AJ21" i="77"/>
  <c r="AH21" i="77"/>
  <c r="AF22" i="77"/>
  <c r="AD22" i="77"/>
  <c r="AB22" i="77"/>
  <c r="Z21" i="77"/>
  <c r="AA14" i="77"/>
  <c r="AA5" i="78" s="1"/>
  <c r="AE7" i="86" s="1"/>
  <c r="AE21" i="86" s="1"/>
  <c r="X20" i="77"/>
  <c r="Y14" i="77" s="1"/>
  <c r="Y5" i="78" s="1"/>
  <c r="AD7" i="86" s="1"/>
  <c r="AD21" i="86" s="1"/>
  <c r="V21" i="77"/>
  <c r="W14" i="77"/>
  <c r="W5" i="78" s="1"/>
  <c r="AC7" i="86" s="1"/>
  <c r="AC21" i="86" s="1"/>
  <c r="R21" i="77"/>
  <c r="P21" i="77"/>
  <c r="N22" i="77"/>
  <c r="L22" i="77"/>
  <c r="J21" i="77"/>
  <c r="K14" i="77"/>
  <c r="K5" i="78" s="1"/>
  <c r="W7" i="86" s="1"/>
  <c r="W21" i="86" s="1"/>
  <c r="H22" i="77"/>
  <c r="F22" i="77"/>
  <c r="AF22" i="75"/>
  <c r="AB21" i="75"/>
  <c r="AC14" i="75"/>
  <c r="AC5" i="76" s="1"/>
  <c r="Q7" i="86" s="1"/>
  <c r="Q21" i="86" s="1"/>
  <c r="Z21" i="75"/>
  <c r="X22" i="75"/>
  <c r="U30" i="12"/>
  <c r="U31" i="15"/>
  <c r="AA36" i="15"/>
  <c r="W37" i="11"/>
  <c r="V26" i="11"/>
  <c r="Y39" i="15"/>
  <c r="AB39" i="15" s="1"/>
  <c r="S37" i="15"/>
  <c r="V37" i="15" s="1"/>
  <c r="P38" i="15"/>
  <c r="T38" i="11"/>
  <c r="P38" i="11"/>
  <c r="C28" i="26"/>
  <c r="C27" i="11"/>
  <c r="L21" i="75" s="1"/>
  <c r="C27" i="33"/>
  <c r="C28" i="23"/>
  <c r="C32" i="16"/>
  <c r="C32" i="15"/>
  <c r="N26" i="75" s="1"/>
  <c r="C34" i="14"/>
  <c r="C28" i="40"/>
  <c r="C28" i="39"/>
  <c r="C28" i="38"/>
  <c r="C29" i="37"/>
  <c r="C29" i="36"/>
  <c r="C29" i="35"/>
  <c r="C28" i="34"/>
  <c r="C28" i="32"/>
  <c r="C29" i="31"/>
  <c r="C28" i="30"/>
  <c r="C28" i="29"/>
  <c r="C29" i="28"/>
  <c r="C29" i="27"/>
  <c r="C29" i="25"/>
  <c r="C29" i="24"/>
  <c r="C29" i="21"/>
  <c r="C29" i="20"/>
  <c r="AD23" i="75" s="1"/>
  <c r="C28" i="19"/>
  <c r="C28" i="18"/>
  <c r="C29" i="17"/>
  <c r="C31" i="12"/>
  <c r="V25" i="75" s="1"/>
  <c r="AM21" i="86" l="1"/>
  <c r="AO21" i="86"/>
  <c r="T23" i="77"/>
  <c r="D22" i="77"/>
  <c r="W20" i="75"/>
  <c r="W6" i="76" s="1"/>
  <c r="N8" i="86" s="1"/>
  <c r="N22" i="86" s="1"/>
  <c r="U34" i="14"/>
  <c r="T28" i="75"/>
  <c r="X32" i="16"/>
  <c r="P26" i="75"/>
  <c r="AL22" i="77"/>
  <c r="AJ22" i="77"/>
  <c r="AH22" i="77"/>
  <c r="AF23" i="77"/>
  <c r="AD23" i="77"/>
  <c r="AB23" i="77"/>
  <c r="Z22" i="77"/>
  <c r="X21" i="77"/>
  <c r="V22" i="77"/>
  <c r="R22" i="77"/>
  <c r="P22" i="77"/>
  <c r="N23" i="77"/>
  <c r="L23" i="77"/>
  <c r="J22" i="77"/>
  <c r="H23" i="77"/>
  <c r="F23" i="77"/>
  <c r="AF23" i="75"/>
  <c r="AB22" i="75"/>
  <c r="Z22" i="75"/>
  <c r="X23" i="75"/>
  <c r="U31" i="12"/>
  <c r="AA37" i="15"/>
  <c r="U32" i="15"/>
  <c r="W38" i="11"/>
  <c r="V27" i="11"/>
  <c r="Y40" i="15"/>
  <c r="AB40" i="15" s="1"/>
  <c r="S38" i="15"/>
  <c r="V38" i="15" s="1"/>
  <c r="P39" i="15"/>
  <c r="T39" i="11"/>
  <c r="P39" i="11"/>
  <c r="C29" i="26"/>
  <c r="C28" i="11"/>
  <c r="L22" i="75" s="1"/>
  <c r="C28" i="33"/>
  <c r="C29" i="23"/>
  <c r="C33" i="16"/>
  <c r="C33" i="15"/>
  <c r="N27" i="75" s="1"/>
  <c r="C35" i="14"/>
  <c r="C29" i="40"/>
  <c r="C29" i="39"/>
  <c r="C29" i="38"/>
  <c r="C30" i="37"/>
  <c r="C30" i="36"/>
  <c r="C30" i="35"/>
  <c r="C29" i="34"/>
  <c r="C29" i="32"/>
  <c r="C30" i="31"/>
  <c r="C29" i="30"/>
  <c r="C29" i="29"/>
  <c r="C30" i="28"/>
  <c r="C30" i="27"/>
  <c r="C30" i="25"/>
  <c r="C30" i="24"/>
  <c r="C30" i="21"/>
  <c r="C30" i="20"/>
  <c r="AD24" i="75" s="1"/>
  <c r="C29" i="19"/>
  <c r="C29" i="18"/>
  <c r="C30" i="17"/>
  <c r="C32" i="12"/>
  <c r="V26" i="75" s="1"/>
  <c r="T24" i="77" l="1"/>
  <c r="D23" i="77"/>
  <c r="U35" i="14"/>
  <c r="T29" i="75"/>
  <c r="X33" i="16"/>
  <c r="P27" i="75"/>
  <c r="E20" i="75"/>
  <c r="E6" i="76" s="1"/>
  <c r="E8" i="86" s="1"/>
  <c r="E22" i="86" s="1"/>
  <c r="G20" i="75"/>
  <c r="G6" i="76" s="1"/>
  <c r="F8" i="86" s="1"/>
  <c r="F22" i="86" s="1"/>
  <c r="AL23" i="77"/>
  <c r="AJ23" i="77"/>
  <c r="AH23" i="77"/>
  <c r="AF24" i="77"/>
  <c r="AD24" i="77"/>
  <c r="AB24" i="77"/>
  <c r="Z23" i="77"/>
  <c r="X22" i="77"/>
  <c r="V23" i="77"/>
  <c r="R23" i="77"/>
  <c r="P23" i="77"/>
  <c r="N24" i="77"/>
  <c r="L24" i="77"/>
  <c r="J23" i="77"/>
  <c r="H24" i="77"/>
  <c r="F24" i="77"/>
  <c r="AF24" i="75"/>
  <c r="AB23" i="75"/>
  <c r="Z23" i="75"/>
  <c r="X24" i="75"/>
  <c r="U32" i="12"/>
  <c r="U33" i="15"/>
  <c r="AA38" i="15"/>
  <c r="V28" i="11"/>
  <c r="W39" i="11"/>
  <c r="Y41" i="15"/>
  <c r="AB41" i="15" s="1"/>
  <c r="S39" i="15"/>
  <c r="V39" i="15" s="1"/>
  <c r="P40" i="15"/>
  <c r="T40" i="11"/>
  <c r="P40" i="11"/>
  <c r="C30" i="26"/>
  <c r="C29" i="11"/>
  <c r="L23" i="75" s="1"/>
  <c r="C29" i="33"/>
  <c r="C30" i="23"/>
  <c r="C35" i="16"/>
  <c r="C34" i="16"/>
  <c r="C34" i="15"/>
  <c r="N28" i="75" s="1"/>
  <c r="C36" i="14"/>
  <c r="C30" i="40"/>
  <c r="C30" i="39"/>
  <c r="C30" i="38"/>
  <c r="C31" i="37"/>
  <c r="C31" i="36"/>
  <c r="C31" i="35"/>
  <c r="C30" i="34"/>
  <c r="C30" i="32"/>
  <c r="C31" i="31"/>
  <c r="C30" i="30"/>
  <c r="C30" i="29"/>
  <c r="C31" i="28"/>
  <c r="C31" i="27"/>
  <c r="C31" i="25"/>
  <c r="C31" i="24"/>
  <c r="C31" i="21"/>
  <c r="C31" i="20"/>
  <c r="AD25" i="75" s="1"/>
  <c r="C30" i="19"/>
  <c r="C30" i="18"/>
  <c r="C31" i="17"/>
  <c r="C33" i="12"/>
  <c r="V27" i="75" s="1"/>
  <c r="T25" i="77" l="1"/>
  <c r="U20" i="77" s="1"/>
  <c r="U6" i="78" s="1"/>
  <c r="AB8" i="86" s="1"/>
  <c r="AB22" i="86" s="1"/>
  <c r="D24" i="77"/>
  <c r="U36" i="14"/>
  <c r="T30" i="75"/>
  <c r="X34" i="16"/>
  <c r="P28" i="75"/>
  <c r="X35" i="16"/>
  <c r="P29" i="75"/>
  <c r="K20" i="75"/>
  <c r="K6" i="76" s="1"/>
  <c r="H8" i="86" s="1"/>
  <c r="H22" i="86" s="1"/>
  <c r="I20" i="75"/>
  <c r="I6" i="76" s="1"/>
  <c r="G8" i="86" s="1"/>
  <c r="G22" i="86" s="1"/>
  <c r="AL24" i="77"/>
  <c r="AJ24" i="77"/>
  <c r="AH24" i="77"/>
  <c r="AF25" i="77"/>
  <c r="AD25" i="77"/>
  <c r="AE20" i="77" s="1"/>
  <c r="AE6" i="78" s="1"/>
  <c r="AG8" i="86" s="1"/>
  <c r="AG22" i="86" s="1"/>
  <c r="AB25" i="77"/>
  <c r="Z24" i="77"/>
  <c r="X23" i="77"/>
  <c r="V24" i="77"/>
  <c r="R24" i="77"/>
  <c r="P24" i="77"/>
  <c r="N25" i="77"/>
  <c r="O20" i="77" s="1"/>
  <c r="O6" i="78" s="1"/>
  <c r="Y8" i="86" s="1"/>
  <c r="Y22" i="86" s="1"/>
  <c r="L25" i="77"/>
  <c r="J24" i="77"/>
  <c r="H25" i="77"/>
  <c r="F25" i="77"/>
  <c r="AF25" i="75"/>
  <c r="AE20" i="75"/>
  <c r="AE6" i="76" s="1"/>
  <c r="R8" i="86" s="1"/>
  <c r="R22" i="86" s="1"/>
  <c r="AB24" i="75"/>
  <c r="Z24" i="75"/>
  <c r="X25" i="75"/>
  <c r="Y20" i="75" s="1"/>
  <c r="Y6" i="76" s="1"/>
  <c r="O8" i="86" s="1"/>
  <c r="O22" i="86" s="1"/>
  <c r="U33" i="12"/>
  <c r="U34" i="15"/>
  <c r="AA39" i="15"/>
  <c r="W40" i="11"/>
  <c r="V29" i="11"/>
  <c r="Y42" i="15"/>
  <c r="AB42" i="15" s="1"/>
  <c r="S40" i="15"/>
  <c r="V40" i="15" s="1"/>
  <c r="P41" i="15"/>
  <c r="T41" i="11"/>
  <c r="P41" i="11"/>
  <c r="C31" i="26"/>
  <c r="C30" i="11"/>
  <c r="L24" i="75" s="1"/>
  <c r="C30" i="33"/>
  <c r="C31" i="23"/>
  <c r="C35" i="15"/>
  <c r="N29" i="75" s="1"/>
  <c r="C37" i="14"/>
  <c r="C31" i="40"/>
  <c r="C31" i="39"/>
  <c r="C31" i="38"/>
  <c r="C32" i="37"/>
  <c r="C32" i="36"/>
  <c r="C32" i="35"/>
  <c r="C31" i="34"/>
  <c r="C31" i="32"/>
  <c r="C32" i="31"/>
  <c r="C31" i="30"/>
  <c r="C31" i="29"/>
  <c r="C32" i="28"/>
  <c r="C32" i="27"/>
  <c r="C32" i="25"/>
  <c r="C32" i="24"/>
  <c r="C32" i="21"/>
  <c r="C32" i="20"/>
  <c r="AD26" i="75" s="1"/>
  <c r="C31" i="19"/>
  <c r="C31" i="18"/>
  <c r="C32" i="17"/>
  <c r="C34" i="12"/>
  <c r="V28" i="75" s="1"/>
  <c r="T26" i="77" l="1"/>
  <c r="D25" i="77"/>
  <c r="U37" i="14"/>
  <c r="T31" i="75"/>
  <c r="AL25" i="77"/>
  <c r="AJ25" i="77"/>
  <c r="AK20" i="77" s="1"/>
  <c r="AK6" i="78" s="1"/>
  <c r="AJ8" i="86" s="1"/>
  <c r="AJ22" i="86" s="1"/>
  <c r="AH25" i="77"/>
  <c r="AF26" i="77"/>
  <c r="AG20" i="77"/>
  <c r="AG6" i="78" s="1"/>
  <c r="AH8" i="86" s="1"/>
  <c r="AH22" i="86" s="1"/>
  <c r="AD26" i="77"/>
  <c r="AB26" i="77"/>
  <c r="AC20" i="77"/>
  <c r="AC6" i="78" s="1"/>
  <c r="AF8" i="86" s="1"/>
  <c r="AF22" i="86" s="1"/>
  <c r="Z25" i="77"/>
  <c r="X24" i="77"/>
  <c r="V25" i="77"/>
  <c r="R25" i="77"/>
  <c r="P25" i="77"/>
  <c r="N26" i="77"/>
  <c r="L26" i="77"/>
  <c r="M20" i="77"/>
  <c r="M6" i="78" s="1"/>
  <c r="X8" i="86" s="1"/>
  <c r="X22" i="86" s="1"/>
  <c r="J25" i="77"/>
  <c r="K20" i="77" s="1"/>
  <c r="K6" i="78" s="1"/>
  <c r="W8" i="86" s="1"/>
  <c r="W22" i="86" s="1"/>
  <c r="H26" i="77"/>
  <c r="I20" i="77"/>
  <c r="I6" i="78" s="1"/>
  <c r="V8" i="86" s="1"/>
  <c r="V22" i="86" s="1"/>
  <c r="F26" i="77"/>
  <c r="G20" i="77"/>
  <c r="G6" i="78" s="1"/>
  <c r="U8" i="86" s="1"/>
  <c r="U22" i="86" s="1"/>
  <c r="AF26" i="75"/>
  <c r="AG20" i="75"/>
  <c r="AG6" i="76" s="1"/>
  <c r="S8" i="86" s="1"/>
  <c r="S22" i="86" s="1"/>
  <c r="G33" i="86" s="1"/>
  <c r="AB25" i="75"/>
  <c r="Z25" i="75"/>
  <c r="X26" i="75"/>
  <c r="U34" i="12"/>
  <c r="C31" i="11"/>
  <c r="L25" i="75" s="1"/>
  <c r="U35" i="15"/>
  <c r="AA40" i="15"/>
  <c r="W41" i="11"/>
  <c r="V30" i="11"/>
  <c r="Y43" i="15"/>
  <c r="AB43" i="15" s="1"/>
  <c r="S41" i="15"/>
  <c r="V41" i="15" s="1"/>
  <c r="P42" i="15"/>
  <c r="T42" i="11"/>
  <c r="P42" i="11"/>
  <c r="C32" i="26"/>
  <c r="C31" i="33"/>
  <c r="C32" i="23"/>
  <c r="C36" i="16"/>
  <c r="C36" i="15"/>
  <c r="N30" i="75" s="1"/>
  <c r="C38" i="14"/>
  <c r="C32" i="40"/>
  <c r="C32" i="39"/>
  <c r="C32" i="38"/>
  <c r="C33" i="37"/>
  <c r="C33" i="36"/>
  <c r="C33" i="35"/>
  <c r="C32" i="34"/>
  <c r="C32" i="32"/>
  <c r="C33" i="31"/>
  <c r="C34" i="30"/>
  <c r="R28" i="77" s="1"/>
  <c r="C32" i="30"/>
  <c r="C32" i="29"/>
  <c r="C33" i="28"/>
  <c r="C33" i="27"/>
  <c r="C33" i="25"/>
  <c r="C33" i="24"/>
  <c r="C33" i="21"/>
  <c r="C33" i="20"/>
  <c r="AD27" i="75" s="1"/>
  <c r="C32" i="19"/>
  <c r="C32" i="18"/>
  <c r="C35" i="12"/>
  <c r="V29" i="75" s="1"/>
  <c r="T27" i="77" l="1"/>
  <c r="D26" i="77"/>
  <c r="E20" i="77"/>
  <c r="E6" i="78" s="1"/>
  <c r="T8" i="86" s="1"/>
  <c r="T22" i="86" s="1"/>
  <c r="U25" i="75"/>
  <c r="U7" i="76" s="1"/>
  <c r="M9" i="86" s="1"/>
  <c r="M23" i="86" s="1"/>
  <c r="U38" i="14"/>
  <c r="T32" i="75"/>
  <c r="X36" i="16"/>
  <c r="P30" i="75"/>
  <c r="M20" i="75"/>
  <c r="M6" i="76" s="1"/>
  <c r="I8" i="86" s="1"/>
  <c r="I22" i="86" s="1"/>
  <c r="AL26" i="77"/>
  <c r="AM20" i="77"/>
  <c r="AM6" i="78" s="1"/>
  <c r="AK8" i="86" s="1"/>
  <c r="AK22" i="86" s="1"/>
  <c r="AJ26" i="77"/>
  <c r="AH26" i="77"/>
  <c r="AI20" i="77"/>
  <c r="AI6" i="78" s="1"/>
  <c r="AI8" i="86" s="1"/>
  <c r="AI22" i="86" s="1"/>
  <c r="AF27" i="77"/>
  <c r="AD27" i="77"/>
  <c r="AB27" i="77"/>
  <c r="Z26" i="77"/>
  <c r="AA20" i="77"/>
  <c r="AA6" i="78" s="1"/>
  <c r="AE8" i="86" s="1"/>
  <c r="AE22" i="86" s="1"/>
  <c r="X25" i="77"/>
  <c r="Y20" i="77" s="1"/>
  <c r="Y6" i="78" s="1"/>
  <c r="AD8" i="86" s="1"/>
  <c r="AD22" i="86" s="1"/>
  <c r="V26" i="77"/>
  <c r="W20" i="77"/>
  <c r="W6" i="78" s="1"/>
  <c r="AC8" i="86" s="1"/>
  <c r="AC22" i="86" s="1"/>
  <c r="R26" i="77"/>
  <c r="S20" i="77"/>
  <c r="S6" i="78" s="1"/>
  <c r="AA8" i="86" s="1"/>
  <c r="AA22" i="86" s="1"/>
  <c r="P26" i="77"/>
  <c r="Q20" i="77"/>
  <c r="Q6" i="78" s="1"/>
  <c r="Z8" i="86" s="1"/>
  <c r="Z22" i="86" s="1"/>
  <c r="N27" i="77"/>
  <c r="L27" i="77"/>
  <c r="J26" i="77"/>
  <c r="H27" i="77"/>
  <c r="F27" i="77"/>
  <c r="AF27" i="75"/>
  <c r="AB26" i="75"/>
  <c r="AC20" i="75"/>
  <c r="AC6" i="76" s="1"/>
  <c r="Q8" i="86" s="1"/>
  <c r="Q22" i="86" s="1"/>
  <c r="Z26" i="75"/>
  <c r="AA20" i="75"/>
  <c r="AA6" i="76" s="1"/>
  <c r="P8" i="86" s="1"/>
  <c r="P22" i="86" s="1"/>
  <c r="X27" i="75"/>
  <c r="U35" i="12"/>
  <c r="U36" i="15"/>
  <c r="AA41" i="15"/>
  <c r="W42" i="11"/>
  <c r="V31" i="11"/>
  <c r="Y44" i="15"/>
  <c r="AB44" i="15" s="1"/>
  <c r="S42" i="15"/>
  <c r="V42" i="15" s="1"/>
  <c r="P43" i="15"/>
  <c r="T43" i="11"/>
  <c r="P43" i="11"/>
  <c r="C33" i="26"/>
  <c r="C32" i="11"/>
  <c r="L26" i="75" s="1"/>
  <c r="C32" i="33"/>
  <c r="C33" i="23"/>
  <c r="C37" i="16"/>
  <c r="C37" i="15"/>
  <c r="N31" i="75" s="1"/>
  <c r="C39" i="14"/>
  <c r="C33" i="40"/>
  <c r="C33" i="39"/>
  <c r="C33" i="38"/>
  <c r="C34" i="37"/>
  <c r="C34" i="36"/>
  <c r="C34" i="35"/>
  <c r="C33" i="34"/>
  <c r="C33" i="32"/>
  <c r="C34" i="31"/>
  <c r="C33" i="30"/>
  <c r="C33" i="29"/>
  <c r="C34" i="28"/>
  <c r="C34" i="27"/>
  <c r="C34" i="25"/>
  <c r="C34" i="24"/>
  <c r="C34" i="21"/>
  <c r="C34" i="20"/>
  <c r="AD28" i="75" s="1"/>
  <c r="C33" i="19"/>
  <c r="C33" i="18"/>
  <c r="C34" i="17"/>
  <c r="C36" i="12"/>
  <c r="V30" i="75" s="1"/>
  <c r="AO22" i="86" l="1"/>
  <c r="AM22" i="86"/>
  <c r="T28" i="77"/>
  <c r="D27" i="77"/>
  <c r="U39" i="14"/>
  <c r="T33" i="75"/>
  <c r="X37" i="16"/>
  <c r="P31" i="75"/>
  <c r="O25" i="75"/>
  <c r="O7" i="76" s="1"/>
  <c r="J9" i="86" s="1"/>
  <c r="J23" i="86" s="1"/>
  <c r="AL27" i="77"/>
  <c r="AJ27" i="77"/>
  <c r="AH27" i="77"/>
  <c r="AF28" i="77"/>
  <c r="AD28" i="77"/>
  <c r="AB28" i="77"/>
  <c r="Z27" i="77"/>
  <c r="X26" i="77"/>
  <c r="V27" i="77"/>
  <c r="R27" i="77"/>
  <c r="P27" i="77"/>
  <c r="N28" i="77"/>
  <c r="L28" i="77"/>
  <c r="J27" i="77"/>
  <c r="H28" i="77"/>
  <c r="F28" i="77"/>
  <c r="AF28" i="75"/>
  <c r="AB27" i="75"/>
  <c r="Z27" i="75"/>
  <c r="X28" i="75"/>
  <c r="U36" i="12"/>
  <c r="U37" i="15"/>
  <c r="AA42" i="15"/>
  <c r="W43" i="11"/>
  <c r="V32" i="11"/>
  <c r="Y45" i="15"/>
  <c r="AB45" i="15" s="1"/>
  <c r="S43" i="15"/>
  <c r="V43" i="15" s="1"/>
  <c r="P44" i="15"/>
  <c r="T44" i="11"/>
  <c r="P44" i="11"/>
  <c r="C34" i="26"/>
  <c r="C33" i="33"/>
  <c r="C34" i="23"/>
  <c r="C38" i="16"/>
  <c r="C38" i="15"/>
  <c r="N32" i="75" s="1"/>
  <c r="C40" i="14"/>
  <c r="C34" i="40"/>
  <c r="C34" i="39"/>
  <c r="C34" i="38"/>
  <c r="C35" i="37"/>
  <c r="C35" i="36"/>
  <c r="C35" i="35"/>
  <c r="C34" i="34"/>
  <c r="C34" i="32"/>
  <c r="C35" i="31"/>
  <c r="C34" i="29"/>
  <c r="C35" i="28"/>
  <c r="C35" i="27"/>
  <c r="C35" i="25"/>
  <c r="C35" i="24"/>
  <c r="C35" i="21"/>
  <c r="C35" i="20"/>
  <c r="AD29" i="75" s="1"/>
  <c r="C34" i="19"/>
  <c r="C34" i="18"/>
  <c r="C35" i="17"/>
  <c r="C37" i="12"/>
  <c r="V31" i="75" s="1"/>
  <c r="T29" i="77" l="1"/>
  <c r="D28" i="77"/>
  <c r="W25" i="75"/>
  <c r="W7" i="76" s="1"/>
  <c r="N9" i="86" s="1"/>
  <c r="N23" i="86" s="1"/>
  <c r="U40" i="14"/>
  <c r="T34" i="75"/>
  <c r="X38" i="16"/>
  <c r="P32" i="75"/>
  <c r="Q25" i="75"/>
  <c r="Q7" i="76" s="1"/>
  <c r="K9" i="86" s="1"/>
  <c r="K23" i="86" s="1"/>
  <c r="F45" i="86" s="1"/>
  <c r="AL28" i="77"/>
  <c r="AJ28" i="77"/>
  <c r="AH28" i="77"/>
  <c r="AF29" i="77"/>
  <c r="AD29" i="77"/>
  <c r="AB29" i="77"/>
  <c r="Z28" i="77"/>
  <c r="X27" i="77"/>
  <c r="V28" i="77"/>
  <c r="P28" i="77"/>
  <c r="N29" i="77"/>
  <c r="L29" i="77"/>
  <c r="J28" i="77"/>
  <c r="H29" i="77"/>
  <c r="F29" i="77"/>
  <c r="AF29" i="75"/>
  <c r="AB28" i="75"/>
  <c r="Z28" i="75"/>
  <c r="X29" i="75"/>
  <c r="U37" i="12"/>
  <c r="U38" i="15"/>
  <c r="AA43" i="15"/>
  <c r="W44" i="11"/>
  <c r="V33" i="11"/>
  <c r="Y46" i="15"/>
  <c r="AB46" i="15" s="1"/>
  <c r="S44" i="15"/>
  <c r="V44" i="15" s="1"/>
  <c r="P45" i="15"/>
  <c r="T45" i="11"/>
  <c r="P45" i="11"/>
  <c r="C35" i="26"/>
  <c r="C34" i="11"/>
  <c r="L28" i="75" s="1"/>
  <c r="C34" i="33"/>
  <c r="C35" i="23"/>
  <c r="C39" i="16"/>
  <c r="C39" i="15"/>
  <c r="N33" i="75" s="1"/>
  <c r="C41" i="14"/>
  <c r="C35" i="40"/>
  <c r="C35" i="39"/>
  <c r="C35" i="38"/>
  <c r="C36" i="37"/>
  <c r="C36" i="36"/>
  <c r="C36" i="35"/>
  <c r="C35" i="34"/>
  <c r="C35" i="32"/>
  <c r="C36" i="31"/>
  <c r="C35" i="30"/>
  <c r="C35" i="29"/>
  <c r="C36" i="28"/>
  <c r="C36" i="27"/>
  <c r="C36" i="25"/>
  <c r="C36" i="24"/>
  <c r="C36" i="21"/>
  <c r="C36" i="20"/>
  <c r="AD30" i="75" s="1"/>
  <c r="C35" i="19"/>
  <c r="C35" i="18"/>
  <c r="C36" i="17"/>
  <c r="C38" i="12"/>
  <c r="V32" i="75" s="1"/>
  <c r="T30" i="77" l="1"/>
  <c r="D29" i="77"/>
  <c r="U41" i="14"/>
  <c r="T35" i="75"/>
  <c r="X39" i="16"/>
  <c r="P33" i="75"/>
  <c r="AL29" i="77"/>
  <c r="AJ29" i="77"/>
  <c r="AH29" i="77"/>
  <c r="AF30" i="77"/>
  <c r="AD30" i="77"/>
  <c r="AB30" i="77"/>
  <c r="Z29" i="77"/>
  <c r="X28" i="77"/>
  <c r="V29" i="77"/>
  <c r="R29" i="77"/>
  <c r="P29" i="77"/>
  <c r="N30" i="77"/>
  <c r="L30" i="77"/>
  <c r="J29" i="77"/>
  <c r="H30" i="77"/>
  <c r="F30" i="77"/>
  <c r="AF30" i="75"/>
  <c r="AB29" i="75"/>
  <c r="Z29" i="75"/>
  <c r="X30" i="75"/>
  <c r="U38" i="12"/>
  <c r="U39" i="15"/>
  <c r="AA44" i="15"/>
  <c r="W45" i="11"/>
  <c r="V34" i="11"/>
  <c r="Y47" i="15"/>
  <c r="AB47" i="15" s="1"/>
  <c r="S45" i="15"/>
  <c r="V45" i="15" s="1"/>
  <c r="P46" i="15"/>
  <c r="T46" i="11"/>
  <c r="P46" i="11"/>
  <c r="C36" i="26"/>
  <c r="C35" i="11"/>
  <c r="L29" i="75" s="1"/>
  <c r="C35" i="33"/>
  <c r="C36" i="23"/>
  <c r="C40" i="16"/>
  <c r="C40" i="15"/>
  <c r="N34" i="75" s="1"/>
  <c r="C42" i="14"/>
  <c r="C36" i="40"/>
  <c r="C36" i="39"/>
  <c r="C36" i="38"/>
  <c r="C37" i="37"/>
  <c r="C37" i="36"/>
  <c r="C37" i="35"/>
  <c r="C36" i="34"/>
  <c r="C36" i="32"/>
  <c r="C37" i="31"/>
  <c r="C36" i="30"/>
  <c r="C36" i="29"/>
  <c r="C37" i="28"/>
  <c r="C37" i="27"/>
  <c r="C37" i="25"/>
  <c r="C37" i="24"/>
  <c r="C37" i="21"/>
  <c r="C37" i="20"/>
  <c r="AD31" i="75" s="1"/>
  <c r="C36" i="19"/>
  <c r="C36" i="18"/>
  <c r="C37" i="17"/>
  <c r="C39" i="12"/>
  <c r="V33" i="75" s="1"/>
  <c r="T31" i="77" l="1"/>
  <c r="D30" i="77"/>
  <c r="U42" i="14"/>
  <c r="T36" i="75"/>
  <c r="U31" i="75" s="1"/>
  <c r="U8" i="76" s="1"/>
  <c r="M10" i="86" s="1"/>
  <c r="M24" i="86" s="1"/>
  <c r="X40" i="16"/>
  <c r="P34" i="75"/>
  <c r="G25" i="75"/>
  <c r="G7" i="76" s="1"/>
  <c r="F9" i="86" s="1"/>
  <c r="F23" i="86" s="1"/>
  <c r="I25" i="75"/>
  <c r="I7" i="76" s="1"/>
  <c r="G9" i="86" s="1"/>
  <c r="G23" i="86" s="1"/>
  <c r="E25" i="75"/>
  <c r="E7" i="76" s="1"/>
  <c r="E9" i="86" s="1"/>
  <c r="E23" i="86" s="1"/>
  <c r="K25" i="75"/>
  <c r="K7" i="76" s="1"/>
  <c r="H9" i="86" s="1"/>
  <c r="H23" i="86" s="1"/>
  <c r="AL30" i="77"/>
  <c r="AJ30" i="77"/>
  <c r="AH30" i="77"/>
  <c r="AF31" i="77"/>
  <c r="AD31" i="77"/>
  <c r="AB31" i="77"/>
  <c r="Z30" i="77"/>
  <c r="X29" i="77"/>
  <c r="V30" i="77"/>
  <c r="R30" i="77"/>
  <c r="P30" i="77"/>
  <c r="N31" i="77"/>
  <c r="L31" i="77"/>
  <c r="J30" i="77"/>
  <c r="H31" i="77"/>
  <c r="F31" i="77"/>
  <c r="AF31" i="75"/>
  <c r="AE25" i="75"/>
  <c r="AE7" i="76" s="1"/>
  <c r="R9" i="86" s="1"/>
  <c r="R23" i="86" s="1"/>
  <c r="AB30" i="75"/>
  <c r="Z30" i="75"/>
  <c r="X31" i="75"/>
  <c r="U39" i="12"/>
  <c r="U40" i="15"/>
  <c r="AA45" i="15"/>
  <c r="W46" i="11"/>
  <c r="V35" i="11"/>
  <c r="Y48" i="15"/>
  <c r="AB48" i="15" s="1"/>
  <c r="S46" i="15"/>
  <c r="V46" i="15" s="1"/>
  <c r="P47" i="15"/>
  <c r="T47" i="11"/>
  <c r="P47" i="11"/>
  <c r="C37" i="26"/>
  <c r="C36" i="11"/>
  <c r="L30" i="75" s="1"/>
  <c r="C36" i="33"/>
  <c r="C37" i="23"/>
  <c r="C41" i="16"/>
  <c r="N35" i="75"/>
  <c r="C43" i="14"/>
  <c r="C37" i="40"/>
  <c r="C37" i="39"/>
  <c r="C37" i="38"/>
  <c r="C38" i="37"/>
  <c r="C38" i="36"/>
  <c r="C38" i="35"/>
  <c r="C37" i="34"/>
  <c r="C37" i="32"/>
  <c r="C38" i="31"/>
  <c r="C37" i="30"/>
  <c r="C37" i="29"/>
  <c r="C38" i="28"/>
  <c r="C38" i="27"/>
  <c r="C38" i="25"/>
  <c r="C38" i="24"/>
  <c r="C38" i="21"/>
  <c r="C38" i="20"/>
  <c r="AD32" i="75" s="1"/>
  <c r="C37" i="19"/>
  <c r="C37" i="18"/>
  <c r="C38" i="17"/>
  <c r="C40" i="12"/>
  <c r="V34" i="75" s="1"/>
  <c r="U25" i="77" l="1"/>
  <c r="U7" i="78" s="1"/>
  <c r="AB9" i="86" s="1"/>
  <c r="AB23" i="86" s="1"/>
  <c r="T32" i="77"/>
  <c r="D31" i="77"/>
  <c r="U43" i="14"/>
  <c r="T37" i="75"/>
  <c r="X41" i="16"/>
  <c r="P35" i="75"/>
  <c r="AL31" i="77"/>
  <c r="AJ31" i="77"/>
  <c r="AH31" i="77"/>
  <c r="AF32" i="77"/>
  <c r="AG25" i="77"/>
  <c r="AG7" i="78" s="1"/>
  <c r="AH9" i="86" s="1"/>
  <c r="AH23" i="86" s="1"/>
  <c r="AD32" i="77"/>
  <c r="AE25" i="77"/>
  <c r="AE7" i="78" s="1"/>
  <c r="AG9" i="86" s="1"/>
  <c r="AG23" i="86" s="1"/>
  <c r="AB32" i="77"/>
  <c r="AC25" i="77"/>
  <c r="AC7" i="78" s="1"/>
  <c r="AF9" i="86" s="1"/>
  <c r="AF23" i="86" s="1"/>
  <c r="Z31" i="77"/>
  <c r="X30" i="77"/>
  <c r="V31" i="77"/>
  <c r="R31" i="77"/>
  <c r="P31" i="77"/>
  <c r="N32" i="77"/>
  <c r="O25" i="77"/>
  <c r="O7" i="78" s="1"/>
  <c r="Y9" i="86" s="1"/>
  <c r="Y23" i="86" s="1"/>
  <c r="M25" i="77"/>
  <c r="M7" i="78" s="1"/>
  <c r="X9" i="86" s="1"/>
  <c r="X23" i="86" s="1"/>
  <c r="L32" i="77"/>
  <c r="J31" i="77"/>
  <c r="H32" i="77"/>
  <c r="I25" i="77"/>
  <c r="I7" i="78" s="1"/>
  <c r="V9" i="86" s="1"/>
  <c r="V23" i="86" s="1"/>
  <c r="G25" i="77"/>
  <c r="G7" i="78" s="1"/>
  <c r="U9" i="86" s="1"/>
  <c r="U23" i="86" s="1"/>
  <c r="H34" i="86" s="1"/>
  <c r="F32" i="77"/>
  <c r="AF32" i="75"/>
  <c r="AG25" i="75"/>
  <c r="AG7" i="76" s="1"/>
  <c r="S9" i="86" s="1"/>
  <c r="S23" i="86" s="1"/>
  <c r="AB31" i="75"/>
  <c r="AC25" i="75" s="1"/>
  <c r="AC7" i="76" s="1"/>
  <c r="Q9" i="86" s="1"/>
  <c r="Q23" i="86" s="1"/>
  <c r="Z31" i="75"/>
  <c r="AA25" i="75" s="1"/>
  <c r="AA7" i="76" s="1"/>
  <c r="P9" i="86" s="1"/>
  <c r="P23" i="86" s="1"/>
  <c r="X32" i="75"/>
  <c r="Y25" i="75"/>
  <c r="Y7" i="76" s="1"/>
  <c r="O9" i="86" s="1"/>
  <c r="O23" i="86" s="1"/>
  <c r="U40" i="12"/>
  <c r="W47" i="11"/>
  <c r="U41" i="15"/>
  <c r="AA46" i="15"/>
  <c r="V36" i="11"/>
  <c r="S48" i="15"/>
  <c r="S47" i="15"/>
  <c r="V47" i="15" s="1"/>
  <c r="P48" i="15"/>
  <c r="T48" i="11"/>
  <c r="P48" i="11"/>
  <c r="C38" i="26"/>
  <c r="C37" i="11"/>
  <c r="L31" i="75" s="1"/>
  <c r="M25" i="75" s="1"/>
  <c r="M7" i="76" s="1"/>
  <c r="I9" i="86" s="1"/>
  <c r="I23" i="86" s="1"/>
  <c r="C37" i="33"/>
  <c r="C38" i="23"/>
  <c r="C42" i="16"/>
  <c r="C42" i="15"/>
  <c r="N36" i="75" s="1"/>
  <c r="C44" i="14"/>
  <c r="C38" i="40"/>
  <c r="C38" i="39"/>
  <c r="C38" i="38"/>
  <c r="C39" i="37"/>
  <c r="C39" i="36"/>
  <c r="C39" i="35"/>
  <c r="C38" i="34"/>
  <c r="C38" i="32"/>
  <c r="C39" i="31"/>
  <c r="C38" i="30"/>
  <c r="C38" i="29"/>
  <c r="C39" i="28"/>
  <c r="C39" i="27"/>
  <c r="C39" i="25"/>
  <c r="C39" i="24"/>
  <c r="C39" i="21"/>
  <c r="C39" i="20"/>
  <c r="AD33" i="75" s="1"/>
  <c r="C38" i="19"/>
  <c r="C38" i="18"/>
  <c r="C39" i="17"/>
  <c r="C41" i="12"/>
  <c r="V35" i="75" s="1"/>
  <c r="T33" i="77" l="1"/>
  <c r="D32" i="77"/>
  <c r="E25" i="77"/>
  <c r="E7" i="78" s="1"/>
  <c r="T9" i="86" s="1"/>
  <c r="T23" i="86" s="1"/>
  <c r="U44" i="14"/>
  <c r="T38" i="75"/>
  <c r="X42" i="16"/>
  <c r="P36" i="75"/>
  <c r="O31" i="75"/>
  <c r="O8" i="76" s="1"/>
  <c r="J10" i="86" s="1"/>
  <c r="J24" i="86" s="1"/>
  <c r="AM25" i="77"/>
  <c r="AM7" i="78" s="1"/>
  <c r="AK9" i="86" s="1"/>
  <c r="AK23" i="86" s="1"/>
  <c r="AL32" i="77"/>
  <c r="AJ32" i="77"/>
  <c r="AK25" i="77"/>
  <c r="AK7" i="78" s="1"/>
  <c r="AJ9" i="86" s="1"/>
  <c r="AJ23" i="86" s="1"/>
  <c r="AI25" i="77"/>
  <c r="AI7" i="78" s="1"/>
  <c r="AI9" i="86" s="1"/>
  <c r="AI23" i="86" s="1"/>
  <c r="AH32" i="77"/>
  <c r="AF33" i="77"/>
  <c r="AD33" i="77"/>
  <c r="AB33" i="77"/>
  <c r="Z32" i="77"/>
  <c r="AA25" i="77"/>
  <c r="AA7" i="78" s="1"/>
  <c r="AE9" i="86" s="1"/>
  <c r="AE23" i="86" s="1"/>
  <c r="X31" i="77"/>
  <c r="W25" i="77"/>
  <c r="W7" i="78" s="1"/>
  <c r="AC9" i="86" s="1"/>
  <c r="AC23" i="86" s="1"/>
  <c r="V32" i="77"/>
  <c r="R32" i="77"/>
  <c r="S25" i="77"/>
  <c r="S7" i="78" s="1"/>
  <c r="AA9" i="86" s="1"/>
  <c r="AA23" i="86" s="1"/>
  <c r="P32" i="77"/>
  <c r="Q25" i="77"/>
  <c r="Q7" i="78" s="1"/>
  <c r="Z9" i="86" s="1"/>
  <c r="Z23" i="86" s="1"/>
  <c r="N33" i="77"/>
  <c r="L33" i="77"/>
  <c r="J32" i="77"/>
  <c r="K25" i="77"/>
  <c r="K7" i="78" s="1"/>
  <c r="W9" i="86" s="1"/>
  <c r="W23" i="86" s="1"/>
  <c r="H33" i="77"/>
  <c r="F33" i="77"/>
  <c r="AF33" i="75"/>
  <c r="AB32" i="75"/>
  <c r="Z32" i="75"/>
  <c r="X33" i="75"/>
  <c r="U41" i="12"/>
  <c r="V48" i="15"/>
  <c r="AA47" i="15"/>
  <c r="U42" i="15"/>
  <c r="AA48" i="15"/>
  <c r="W48" i="11"/>
  <c r="V37" i="11"/>
  <c r="C39" i="26"/>
  <c r="C38" i="11"/>
  <c r="L32" i="75" s="1"/>
  <c r="C38" i="33"/>
  <c r="C39" i="23"/>
  <c r="C43" i="16"/>
  <c r="C43" i="15"/>
  <c r="N37" i="75" s="1"/>
  <c r="C45" i="14"/>
  <c r="C39" i="40"/>
  <c r="C39" i="39"/>
  <c r="C39" i="38"/>
  <c r="C40" i="37"/>
  <c r="C40" i="36"/>
  <c r="C40" i="35"/>
  <c r="C39" i="34"/>
  <c r="C39" i="32"/>
  <c r="C40" i="31"/>
  <c r="C39" i="30"/>
  <c r="C39" i="29"/>
  <c r="C40" i="28"/>
  <c r="C40" i="27"/>
  <c r="C40" i="25"/>
  <c r="C40" i="24"/>
  <c r="C40" i="21"/>
  <c r="C40" i="20"/>
  <c r="AD34" i="75" s="1"/>
  <c r="C39" i="19"/>
  <c r="C39" i="18"/>
  <c r="C42" i="12"/>
  <c r="V36" i="75" s="1"/>
  <c r="T34" i="77" l="1"/>
  <c r="D33" i="77"/>
  <c r="W31" i="75"/>
  <c r="W8" i="76" s="1"/>
  <c r="N10" i="86" s="1"/>
  <c r="N24" i="86" s="1"/>
  <c r="E35" i="86" s="1"/>
  <c r="U45" i="14"/>
  <c r="T39" i="75"/>
  <c r="X43" i="16"/>
  <c r="P37" i="75"/>
  <c r="Q31" i="75"/>
  <c r="Q8" i="76" s="1"/>
  <c r="K10" i="86" s="1"/>
  <c r="K24" i="86" s="1"/>
  <c r="AL33" i="77"/>
  <c r="AJ33" i="77"/>
  <c r="AH33" i="77"/>
  <c r="AF34" i="77"/>
  <c r="AD34" i="77"/>
  <c r="AB34" i="77"/>
  <c r="Z33" i="77"/>
  <c r="X32" i="77"/>
  <c r="Y25" i="77"/>
  <c r="Y7" i="78" s="1"/>
  <c r="AD9" i="86" s="1"/>
  <c r="AD23" i="86" s="1"/>
  <c r="AO23" i="86" s="1"/>
  <c r="V33" i="77"/>
  <c r="R33" i="77"/>
  <c r="P33" i="77"/>
  <c r="N34" i="77"/>
  <c r="L34" i="77"/>
  <c r="J33" i="77"/>
  <c r="H34" i="77"/>
  <c r="F34" i="77"/>
  <c r="AF34" i="75"/>
  <c r="AB33" i="75"/>
  <c r="Z33" i="75"/>
  <c r="X34" i="75"/>
  <c r="U42" i="12"/>
  <c r="U43" i="15"/>
  <c r="V38" i="11"/>
  <c r="C40" i="26"/>
  <c r="C39" i="11"/>
  <c r="L33" i="75" s="1"/>
  <c r="C39" i="33"/>
  <c r="C40" i="23"/>
  <c r="C44" i="16"/>
  <c r="C44" i="15"/>
  <c r="N38" i="75" s="1"/>
  <c r="C46" i="14"/>
  <c r="C40" i="40"/>
  <c r="C40" i="39"/>
  <c r="C40" i="38"/>
  <c r="C41" i="37"/>
  <c r="C41" i="36"/>
  <c r="C41" i="35"/>
  <c r="C40" i="34"/>
  <c r="C40" i="32"/>
  <c r="C41" i="31"/>
  <c r="C40" i="30"/>
  <c r="C40" i="29"/>
  <c r="C41" i="28"/>
  <c r="C41" i="27"/>
  <c r="C41" i="25"/>
  <c r="C41" i="24"/>
  <c r="C41" i="21"/>
  <c r="C41" i="20"/>
  <c r="AD35" i="75" s="1"/>
  <c r="C40" i="19"/>
  <c r="C40" i="18"/>
  <c r="C41" i="17"/>
  <c r="C43" i="12"/>
  <c r="V37" i="75" s="1"/>
  <c r="AM23" i="86" l="1"/>
  <c r="T35" i="77"/>
  <c r="D34" i="77"/>
  <c r="U46" i="14"/>
  <c r="T40" i="75"/>
  <c r="X44" i="16"/>
  <c r="P38" i="75"/>
  <c r="G31" i="75"/>
  <c r="G8" i="76" s="1"/>
  <c r="F10" i="86" s="1"/>
  <c r="F24" i="86" s="1"/>
  <c r="AL34" i="77"/>
  <c r="AJ34" i="77"/>
  <c r="AH34" i="77"/>
  <c r="AF35" i="77"/>
  <c r="AD35" i="77"/>
  <c r="AB35" i="77"/>
  <c r="Z34" i="77"/>
  <c r="X33" i="77"/>
  <c r="V34" i="77"/>
  <c r="R34" i="77"/>
  <c r="P34" i="77"/>
  <c r="N35" i="77"/>
  <c r="L35" i="77"/>
  <c r="J34" i="77"/>
  <c r="H35" i="77"/>
  <c r="F35" i="77"/>
  <c r="AF35" i="75"/>
  <c r="AB34" i="75"/>
  <c r="Z34" i="75"/>
  <c r="X35" i="75"/>
  <c r="U43" i="12"/>
  <c r="U44" i="15"/>
  <c r="V39" i="11"/>
  <c r="C41" i="26"/>
  <c r="C40" i="11"/>
  <c r="L34" i="75" s="1"/>
  <c r="C40" i="33"/>
  <c r="C41" i="23"/>
  <c r="C45" i="16"/>
  <c r="C45" i="15"/>
  <c r="N39" i="75" s="1"/>
  <c r="C48" i="14"/>
  <c r="C47" i="14"/>
  <c r="C41" i="40"/>
  <c r="C41" i="39"/>
  <c r="C41" i="38"/>
  <c r="C42" i="37"/>
  <c r="C42" i="36"/>
  <c r="C42" i="35"/>
  <c r="C41" i="34"/>
  <c r="C41" i="32"/>
  <c r="C42" i="31"/>
  <c r="C41" i="30"/>
  <c r="C41" i="29"/>
  <c r="C42" i="28"/>
  <c r="C42" i="27"/>
  <c r="C42" i="25"/>
  <c r="C42" i="24"/>
  <c r="C42" i="21"/>
  <c r="C42" i="20"/>
  <c r="AD36" i="75" s="1"/>
  <c r="C41" i="19"/>
  <c r="C41" i="18"/>
  <c r="C42" i="17"/>
  <c r="C44" i="12"/>
  <c r="V38" i="75" s="1"/>
  <c r="T36" i="77" l="1"/>
  <c r="U31" i="77" s="1"/>
  <c r="U8" i="78" s="1"/>
  <c r="AB10" i="86" s="1"/>
  <c r="AB24" i="86" s="1"/>
  <c r="D35" i="77"/>
  <c r="U47" i="14"/>
  <c r="T41" i="75"/>
  <c r="U48" i="14"/>
  <c r="T42" i="75"/>
  <c r="X45" i="16"/>
  <c r="P39" i="75"/>
  <c r="E31" i="75"/>
  <c r="E8" i="76" s="1"/>
  <c r="E10" i="86" s="1"/>
  <c r="E24" i="86" s="1"/>
  <c r="K31" i="75"/>
  <c r="K8" i="76" s="1"/>
  <c r="H10" i="86" s="1"/>
  <c r="H24" i="86" s="1"/>
  <c r="I31" i="75"/>
  <c r="I8" i="76" s="1"/>
  <c r="G10" i="86" s="1"/>
  <c r="G24" i="86" s="1"/>
  <c r="AL35" i="77"/>
  <c r="AJ35" i="77"/>
  <c r="AH35" i="77"/>
  <c r="AF36" i="77"/>
  <c r="AD36" i="77"/>
  <c r="AB36" i="77"/>
  <c r="AC31" i="77" s="1"/>
  <c r="AC8" i="78" s="1"/>
  <c r="AF10" i="86" s="1"/>
  <c r="AF24" i="86" s="1"/>
  <c r="Z35" i="77"/>
  <c r="X34" i="77"/>
  <c r="V35" i="77"/>
  <c r="R35" i="77"/>
  <c r="P35" i="77"/>
  <c r="N36" i="77"/>
  <c r="O31" i="77" s="1"/>
  <c r="O8" i="78" s="1"/>
  <c r="Y10" i="86" s="1"/>
  <c r="Y24" i="86" s="1"/>
  <c r="L36" i="77"/>
  <c r="M31" i="77" s="1"/>
  <c r="M8" i="78" s="1"/>
  <c r="X10" i="86" s="1"/>
  <c r="X24" i="86" s="1"/>
  <c r="J35" i="77"/>
  <c r="H36" i="77"/>
  <c r="F36" i="77"/>
  <c r="AF36" i="75"/>
  <c r="AG31" i="75" s="1"/>
  <c r="AG8" i="76" s="1"/>
  <c r="S10" i="86" s="1"/>
  <c r="S24" i="86" s="1"/>
  <c r="AE31" i="75"/>
  <c r="AE8" i="76" s="1"/>
  <c r="R10" i="86" s="1"/>
  <c r="R24" i="86" s="1"/>
  <c r="AB35" i="75"/>
  <c r="Z35" i="75"/>
  <c r="X36" i="75"/>
  <c r="U44" i="12"/>
  <c r="U45" i="15"/>
  <c r="V40" i="11"/>
  <c r="C42" i="26"/>
  <c r="C41" i="11"/>
  <c r="L35" i="75" s="1"/>
  <c r="C41" i="33"/>
  <c r="C42" i="23"/>
  <c r="C46" i="16"/>
  <c r="C46" i="15"/>
  <c r="N40" i="75" s="1"/>
  <c r="C42" i="40"/>
  <c r="C42" i="39"/>
  <c r="C42" i="38"/>
  <c r="C43" i="37"/>
  <c r="C43" i="36"/>
  <c r="C43" i="35"/>
  <c r="C42" i="34"/>
  <c r="C42" i="32"/>
  <c r="C43" i="31"/>
  <c r="C42" i="30"/>
  <c r="C42" i="29"/>
  <c r="C43" i="28"/>
  <c r="C43" i="27"/>
  <c r="C43" i="25"/>
  <c r="C43" i="24"/>
  <c r="C43" i="21"/>
  <c r="C43" i="20"/>
  <c r="AD37" i="75" s="1"/>
  <c r="C42" i="19"/>
  <c r="C42" i="18"/>
  <c r="C43" i="17"/>
  <c r="C45" i="12"/>
  <c r="V39" i="75" s="1"/>
  <c r="T37" i="77" l="1"/>
  <c r="D36" i="77"/>
  <c r="E31" i="77" s="1"/>
  <c r="E8" i="78" s="1"/>
  <c r="T10" i="86" s="1"/>
  <c r="T24" i="86" s="1"/>
  <c r="U36" i="75"/>
  <c r="U9" i="76" s="1"/>
  <c r="M11" i="86" s="1"/>
  <c r="M25" i="86" s="1"/>
  <c r="X46" i="16"/>
  <c r="P40" i="75"/>
  <c r="AL36" i="77"/>
  <c r="AJ36" i="77"/>
  <c r="AK31" i="77" s="1"/>
  <c r="AK8" i="78" s="1"/>
  <c r="AJ10" i="86" s="1"/>
  <c r="AJ24" i="86" s="1"/>
  <c r="AH36" i="77"/>
  <c r="AI31" i="77" s="1"/>
  <c r="AI8" i="78" s="1"/>
  <c r="AI10" i="86" s="1"/>
  <c r="AI24" i="86" s="1"/>
  <c r="AF37" i="77"/>
  <c r="AG31" i="77"/>
  <c r="AG8" i="78" s="1"/>
  <c r="AH10" i="86" s="1"/>
  <c r="AH24" i="86" s="1"/>
  <c r="AD37" i="77"/>
  <c r="AE31" i="77"/>
  <c r="AE8" i="78" s="1"/>
  <c r="AG10" i="86" s="1"/>
  <c r="AG24" i="86" s="1"/>
  <c r="AB37" i="77"/>
  <c r="Z36" i="77"/>
  <c r="AA31" i="77" s="1"/>
  <c r="AA8" i="78" s="1"/>
  <c r="AE10" i="86" s="1"/>
  <c r="AE24" i="86" s="1"/>
  <c r="X35" i="77"/>
  <c r="V36" i="77"/>
  <c r="R36" i="77"/>
  <c r="S31" i="77" s="1"/>
  <c r="S8" i="78" s="1"/>
  <c r="AA10" i="86" s="1"/>
  <c r="AA24" i="86" s="1"/>
  <c r="P36" i="77"/>
  <c r="N37" i="77"/>
  <c r="L37" i="77"/>
  <c r="J36" i="77"/>
  <c r="K31" i="77" s="1"/>
  <c r="K8" i="78" s="1"/>
  <c r="W10" i="86" s="1"/>
  <c r="W24" i="86" s="1"/>
  <c r="G46" i="86" s="1"/>
  <c r="H37" i="77"/>
  <c r="I31" i="77"/>
  <c r="I8" i="78" s="1"/>
  <c r="V10" i="86" s="1"/>
  <c r="V24" i="86" s="1"/>
  <c r="F37" i="77"/>
  <c r="G31" i="77"/>
  <c r="G8" i="78" s="1"/>
  <c r="U10" i="86" s="1"/>
  <c r="U24" i="86" s="1"/>
  <c r="AF37" i="75"/>
  <c r="AB36" i="75"/>
  <c r="AC31" i="75" s="1"/>
  <c r="AC8" i="76" s="1"/>
  <c r="Q10" i="86" s="1"/>
  <c r="Q24" i="86" s="1"/>
  <c r="Z36" i="75"/>
  <c r="AA31" i="75" s="1"/>
  <c r="AA8" i="76" s="1"/>
  <c r="P10" i="86" s="1"/>
  <c r="P24" i="86" s="1"/>
  <c r="X37" i="75"/>
  <c r="Y31" i="75"/>
  <c r="Y8" i="76" s="1"/>
  <c r="O10" i="86" s="1"/>
  <c r="O24" i="86" s="1"/>
  <c r="U45" i="12"/>
  <c r="U46" i="15"/>
  <c r="V41" i="11"/>
  <c r="C43" i="26"/>
  <c r="C42" i="11"/>
  <c r="L36" i="75" s="1"/>
  <c r="C42" i="33"/>
  <c r="C43" i="23"/>
  <c r="C48" i="16"/>
  <c r="C47" i="16"/>
  <c r="C48" i="15"/>
  <c r="N42" i="75" s="1"/>
  <c r="N41" i="75"/>
  <c r="C43" i="40"/>
  <c r="C43" i="39"/>
  <c r="C43" i="38"/>
  <c r="C44" i="37"/>
  <c r="C44" i="36"/>
  <c r="C44" i="35"/>
  <c r="C43" i="34"/>
  <c r="C43" i="32"/>
  <c r="C44" i="31"/>
  <c r="C43" i="30"/>
  <c r="C43" i="29"/>
  <c r="C44" i="28"/>
  <c r="C44" i="27"/>
  <c r="C44" i="25"/>
  <c r="C44" i="24"/>
  <c r="C44" i="21"/>
  <c r="C44" i="20"/>
  <c r="AD38" i="75" s="1"/>
  <c r="C43" i="19"/>
  <c r="C43" i="18"/>
  <c r="C44" i="17"/>
  <c r="C46" i="12"/>
  <c r="V40" i="75" s="1"/>
  <c r="T38" i="77" l="1"/>
  <c r="D37" i="77"/>
  <c r="X47" i="16"/>
  <c r="P41" i="75"/>
  <c r="X48" i="16"/>
  <c r="P42" i="75"/>
  <c r="O36" i="75"/>
  <c r="O9" i="76" s="1"/>
  <c r="J11" i="86" s="1"/>
  <c r="J25" i="86" s="1"/>
  <c r="M31" i="75"/>
  <c r="M8" i="76" s="1"/>
  <c r="I10" i="86" s="1"/>
  <c r="I24" i="86" s="1"/>
  <c r="AM31" i="77"/>
  <c r="AM8" i="78" s="1"/>
  <c r="AK10" i="86" s="1"/>
  <c r="AK24" i="86" s="1"/>
  <c r="AL37" i="77"/>
  <c r="AJ37" i="77"/>
  <c r="AH37" i="77"/>
  <c r="AF38" i="77"/>
  <c r="AD38" i="77"/>
  <c r="AB38" i="77"/>
  <c r="Z37" i="77"/>
  <c r="X36" i="77"/>
  <c r="V37" i="77"/>
  <c r="W31" i="77"/>
  <c r="W8" i="78" s="1"/>
  <c r="AC10" i="86" s="1"/>
  <c r="AC24" i="86" s="1"/>
  <c r="R37" i="77"/>
  <c r="Q31" i="77"/>
  <c r="Q8" i="78" s="1"/>
  <c r="Z10" i="86" s="1"/>
  <c r="Z24" i="86" s="1"/>
  <c r="P37" i="77"/>
  <c r="N38" i="77"/>
  <c r="L38" i="77"/>
  <c r="J37" i="77"/>
  <c r="H38" i="77"/>
  <c r="F38" i="77"/>
  <c r="AF38" i="75"/>
  <c r="AB37" i="75"/>
  <c r="Z37" i="75"/>
  <c r="X38" i="75"/>
  <c r="U46" i="12"/>
  <c r="U48" i="15"/>
  <c r="U47" i="15"/>
  <c r="V42" i="11"/>
  <c r="C44" i="26"/>
  <c r="C43" i="11"/>
  <c r="L37" i="75" s="1"/>
  <c r="C43" i="33"/>
  <c r="C44" i="23"/>
  <c r="C44" i="40"/>
  <c r="C44" i="39"/>
  <c r="C44" i="38"/>
  <c r="C45" i="37"/>
  <c r="C45" i="36"/>
  <c r="C45" i="35"/>
  <c r="C44" i="34"/>
  <c r="C44" i="32"/>
  <c r="C45" i="31"/>
  <c r="C44" i="30"/>
  <c r="C44" i="29"/>
  <c r="C45" i="28"/>
  <c r="C45" i="27"/>
  <c r="C45" i="25"/>
  <c r="C45" i="24"/>
  <c r="C45" i="21"/>
  <c r="C45" i="20"/>
  <c r="AD39" i="75" s="1"/>
  <c r="C44" i="19"/>
  <c r="C44" i="18"/>
  <c r="C45" i="17"/>
  <c r="C47" i="12"/>
  <c r="V41" i="75" s="1"/>
  <c r="Q36" i="75" l="1"/>
  <c r="Q9" i="76" s="1"/>
  <c r="K11" i="86" s="1"/>
  <c r="K25" i="86" s="1"/>
  <c r="T39" i="77"/>
  <c r="D38" i="77"/>
  <c r="AL38" i="77"/>
  <c r="AJ38" i="77"/>
  <c r="AH38" i="77"/>
  <c r="AF39" i="77"/>
  <c r="AD39" i="77"/>
  <c r="AB39" i="77"/>
  <c r="Z38" i="77"/>
  <c r="X37" i="77"/>
  <c r="Y31" i="77"/>
  <c r="Y8" i="78" s="1"/>
  <c r="AD10" i="86" s="1"/>
  <c r="AD24" i="86" s="1"/>
  <c r="AM24" i="86" s="1"/>
  <c r="V38" i="77"/>
  <c r="R38" i="77"/>
  <c r="P38" i="77"/>
  <c r="N39" i="77"/>
  <c r="L39" i="77"/>
  <c r="J38" i="77"/>
  <c r="H39" i="77"/>
  <c r="F39" i="77"/>
  <c r="AF39" i="75"/>
  <c r="AB38" i="75"/>
  <c r="Z38" i="75"/>
  <c r="X39" i="75"/>
  <c r="U47" i="12"/>
  <c r="V43" i="11"/>
  <c r="C45" i="26"/>
  <c r="C44" i="11"/>
  <c r="L38" i="75" s="1"/>
  <c r="C45" i="11"/>
  <c r="C44" i="33"/>
  <c r="C45" i="23"/>
  <c r="C45" i="40"/>
  <c r="C45" i="39"/>
  <c r="C45" i="38"/>
  <c r="C46" i="37"/>
  <c r="C46" i="36"/>
  <c r="C46" i="35"/>
  <c r="C45" i="34"/>
  <c r="C45" i="32"/>
  <c r="C46" i="31"/>
  <c r="C45" i="30"/>
  <c r="C45" i="29"/>
  <c r="C46" i="28"/>
  <c r="C46" i="27"/>
  <c r="C46" i="25"/>
  <c r="C46" i="24"/>
  <c r="C46" i="21"/>
  <c r="C46" i="20"/>
  <c r="AD40" i="75" s="1"/>
  <c r="C45" i="19"/>
  <c r="C45" i="18"/>
  <c r="C46" i="17"/>
  <c r="C48" i="12"/>
  <c r="V42" i="75" s="1"/>
  <c r="W36" i="75" s="1"/>
  <c r="W9" i="76" s="1"/>
  <c r="N11" i="86" s="1"/>
  <c r="N25" i="86" s="1"/>
  <c r="E36" i="86" s="1"/>
  <c r="AO24" i="86" l="1"/>
  <c r="T40" i="77"/>
  <c r="D39" i="77"/>
  <c r="V45" i="11"/>
  <c r="L39" i="75"/>
  <c r="AL39" i="77"/>
  <c r="AJ39" i="77"/>
  <c r="AH39" i="77"/>
  <c r="AF40" i="77"/>
  <c r="AD40" i="77"/>
  <c r="AB40" i="77"/>
  <c r="Z39" i="77"/>
  <c r="X38" i="77"/>
  <c r="V39" i="77"/>
  <c r="R39" i="77"/>
  <c r="P39" i="77"/>
  <c r="N40" i="77"/>
  <c r="L40" i="77"/>
  <c r="J39" i="77"/>
  <c r="H40" i="77"/>
  <c r="F40" i="77"/>
  <c r="AF40" i="75"/>
  <c r="AB39" i="75"/>
  <c r="Z39" i="75"/>
  <c r="X40" i="75"/>
  <c r="U48" i="12"/>
  <c r="V44" i="11"/>
  <c r="C46" i="26"/>
  <c r="C45" i="33"/>
  <c r="C46" i="23"/>
  <c r="C46" i="40"/>
  <c r="C46" i="39"/>
  <c r="C46" i="38"/>
  <c r="C47" i="37"/>
  <c r="C47" i="36"/>
  <c r="C47" i="35"/>
  <c r="C46" i="34"/>
  <c r="C46" i="32"/>
  <c r="C47" i="31"/>
  <c r="C46" i="30"/>
  <c r="C46" i="29"/>
  <c r="C47" i="28"/>
  <c r="C47" i="27"/>
  <c r="C47" i="25"/>
  <c r="C47" i="24"/>
  <c r="C47" i="21"/>
  <c r="C47" i="20"/>
  <c r="AD41" i="75" s="1"/>
  <c r="C46" i="19"/>
  <c r="C46" i="18"/>
  <c r="C47" i="17"/>
  <c r="T41" i="77" l="1"/>
  <c r="D40" i="77"/>
  <c r="K36" i="75"/>
  <c r="K9" i="76" s="1"/>
  <c r="H11" i="86" s="1"/>
  <c r="H25" i="86" s="1"/>
  <c r="I36" i="75"/>
  <c r="I9" i="76" s="1"/>
  <c r="G11" i="86" s="1"/>
  <c r="E36" i="75"/>
  <c r="E9" i="76" s="1"/>
  <c r="E11" i="86" s="1"/>
  <c r="E25" i="86" s="1"/>
  <c r="G36" i="75"/>
  <c r="G9" i="76" s="1"/>
  <c r="F11" i="86" s="1"/>
  <c r="AL40" i="77"/>
  <c r="AJ40" i="77"/>
  <c r="AH40" i="77"/>
  <c r="AF41" i="77"/>
  <c r="AD41" i="77"/>
  <c r="AB41" i="77"/>
  <c r="Z40" i="77"/>
  <c r="X39" i="77"/>
  <c r="V40" i="77"/>
  <c r="R40" i="77"/>
  <c r="P40" i="77"/>
  <c r="N41" i="77"/>
  <c r="L41" i="77"/>
  <c r="J40" i="77"/>
  <c r="H41" i="77"/>
  <c r="F41" i="77"/>
  <c r="AF41" i="75"/>
  <c r="AB40" i="75"/>
  <c r="Z40" i="75"/>
  <c r="X41" i="75"/>
  <c r="C47" i="26"/>
  <c r="C46" i="11"/>
  <c r="L40" i="75" s="1"/>
  <c r="C46" i="33"/>
  <c r="C47" i="23"/>
  <c r="C47" i="40"/>
  <c r="C47" i="39"/>
  <c r="C47" i="38"/>
  <c r="C48" i="37"/>
  <c r="C48" i="36"/>
  <c r="C48" i="35"/>
  <c r="C47" i="34"/>
  <c r="C47" i="32"/>
  <c r="C48" i="31"/>
  <c r="C47" i="30"/>
  <c r="C47" i="29"/>
  <c r="C48" i="28"/>
  <c r="C48" i="27"/>
  <c r="C48" i="25"/>
  <c r="C48" i="24"/>
  <c r="C48" i="21"/>
  <c r="C48" i="20"/>
  <c r="AD42" i="75" s="1"/>
  <c r="AE36" i="75" s="1"/>
  <c r="AE9" i="76" s="1"/>
  <c r="R11" i="86" s="1"/>
  <c r="R25" i="86" s="1"/>
  <c r="C47" i="19"/>
  <c r="C47" i="18"/>
  <c r="C48" i="17"/>
  <c r="T42" i="77" l="1"/>
  <c r="U36" i="77" s="1"/>
  <c r="U9" i="78" s="1"/>
  <c r="AB11" i="86" s="1"/>
  <c r="AB25" i="86" s="1"/>
  <c r="D41" i="77"/>
  <c r="AL41" i="77"/>
  <c r="AJ41" i="77"/>
  <c r="AH41" i="77"/>
  <c r="AF42" i="77"/>
  <c r="AG36" i="77" s="1"/>
  <c r="AG9" i="78" s="1"/>
  <c r="AH11" i="86" s="1"/>
  <c r="AH25" i="86" s="1"/>
  <c r="AD42" i="77"/>
  <c r="AE36" i="77" s="1"/>
  <c r="AE9" i="78" s="1"/>
  <c r="AG11" i="86" s="1"/>
  <c r="AG25" i="86" s="1"/>
  <c r="AB42" i="77"/>
  <c r="AC36" i="77" s="1"/>
  <c r="AC9" i="78" s="1"/>
  <c r="AF11" i="86" s="1"/>
  <c r="AF25" i="86" s="1"/>
  <c r="Z41" i="77"/>
  <c r="X40" i="77"/>
  <c r="V41" i="77"/>
  <c r="R41" i="77"/>
  <c r="P41" i="77"/>
  <c r="N42" i="77"/>
  <c r="O36" i="77" s="1"/>
  <c r="O9" i="78" s="1"/>
  <c r="Y11" i="86" s="1"/>
  <c r="Y25" i="86" s="1"/>
  <c r="L42" i="77"/>
  <c r="M36" i="77" s="1"/>
  <c r="M9" i="78" s="1"/>
  <c r="X11" i="86" s="1"/>
  <c r="X25" i="86" s="1"/>
  <c r="J41" i="77"/>
  <c r="H42" i="77"/>
  <c r="I36" i="77" s="1"/>
  <c r="I9" i="78" s="1"/>
  <c r="V11" i="86" s="1"/>
  <c r="V25" i="86" s="1"/>
  <c r="F42" i="77"/>
  <c r="G36" i="77" s="1"/>
  <c r="G9" i="78" s="1"/>
  <c r="U11" i="86" s="1"/>
  <c r="U25" i="86" s="1"/>
  <c r="AF42" i="75"/>
  <c r="AG36" i="75" s="1"/>
  <c r="AG9" i="76" s="1"/>
  <c r="S11" i="86" s="1"/>
  <c r="S25" i="86" s="1"/>
  <c r="AB41" i="75"/>
  <c r="Z41" i="75"/>
  <c r="X42" i="75"/>
  <c r="Y36" i="75" s="1"/>
  <c r="Y9" i="76" s="1"/>
  <c r="O11" i="86" s="1"/>
  <c r="O25" i="86" s="1"/>
  <c r="V46" i="11"/>
  <c r="C48" i="26"/>
  <c r="C47" i="11"/>
  <c r="L41" i="75" s="1"/>
  <c r="C48" i="33"/>
  <c r="C47" i="33"/>
  <c r="C48" i="23"/>
  <c r="C48" i="40"/>
  <c r="C48" i="39"/>
  <c r="C48" i="38"/>
  <c r="C48" i="34"/>
  <c r="C48" i="32"/>
  <c r="C48" i="30"/>
  <c r="C48" i="29"/>
  <c r="C48" i="19"/>
  <c r="C48" i="18"/>
  <c r="D42" i="77" l="1"/>
  <c r="E36" i="77" s="1"/>
  <c r="E9" i="78" s="1"/>
  <c r="T11" i="86" s="1"/>
  <c r="T25" i="86" s="1"/>
  <c r="AL42" i="77"/>
  <c r="AM36" i="77" s="1"/>
  <c r="AM9" i="78" s="1"/>
  <c r="AK11" i="86" s="1"/>
  <c r="AK25" i="86" s="1"/>
  <c r="AJ42" i="77"/>
  <c r="AK36" i="77" s="1"/>
  <c r="AK9" i="78" s="1"/>
  <c r="AJ11" i="86" s="1"/>
  <c r="AJ25" i="86" s="1"/>
  <c r="AH42" i="77"/>
  <c r="AI36" i="77" s="1"/>
  <c r="AI9" i="78" s="1"/>
  <c r="AI11" i="86" s="1"/>
  <c r="AI25" i="86" s="1"/>
  <c r="Z42" i="77"/>
  <c r="AA36" i="77" s="1"/>
  <c r="AA9" i="78" s="1"/>
  <c r="AE11" i="86" s="1"/>
  <c r="AE25" i="86" s="1"/>
  <c r="X41" i="77"/>
  <c r="X42" i="77"/>
  <c r="V42" i="77"/>
  <c r="W36" i="77" s="1"/>
  <c r="W9" i="78" s="1"/>
  <c r="AC11" i="86" s="1"/>
  <c r="AC25" i="86" s="1"/>
  <c r="R42" i="77"/>
  <c r="S36" i="77" s="1"/>
  <c r="S9" i="78" s="1"/>
  <c r="AA11" i="86" s="1"/>
  <c r="AA25" i="86" s="1"/>
  <c r="P42" i="77"/>
  <c r="Q36" i="77" s="1"/>
  <c r="Q9" i="78" s="1"/>
  <c r="Z11" i="86" s="1"/>
  <c r="Z25" i="86" s="1"/>
  <c r="J42" i="77"/>
  <c r="K36" i="77" s="1"/>
  <c r="K9" i="78" s="1"/>
  <c r="W11" i="86" s="1"/>
  <c r="W25" i="86" s="1"/>
  <c r="G47" i="86" s="1"/>
  <c r="AB42" i="75"/>
  <c r="AC36" i="75" s="1"/>
  <c r="AC9" i="76" s="1"/>
  <c r="Q11" i="86" s="1"/>
  <c r="Q25" i="86" s="1"/>
  <c r="Z42" i="75"/>
  <c r="AA36" i="75" s="1"/>
  <c r="AA9" i="76" s="1"/>
  <c r="P11" i="86" s="1"/>
  <c r="P25" i="86" s="1"/>
  <c r="V47" i="11"/>
  <c r="C48" i="11"/>
  <c r="L42" i="75" s="1"/>
  <c r="M36" i="75" s="1"/>
  <c r="M9" i="76" s="1"/>
  <c r="I11" i="86" s="1"/>
  <c r="I25" i="86" s="1"/>
  <c r="Y36" i="77" l="1"/>
  <c r="Y9" i="78" s="1"/>
  <c r="AD11" i="86" s="1"/>
  <c r="AD25" i="86" s="1"/>
  <c r="AO25" i="86" s="1"/>
  <c r="V48" i="11"/>
  <c r="AM25" i="86" l="1"/>
</calcChain>
</file>

<file path=xl/sharedStrings.xml><?xml version="1.0" encoding="utf-8"?>
<sst xmlns="http://schemas.openxmlformats.org/spreadsheetml/2006/main" count="816" uniqueCount="291">
  <si>
    <t>Annahmen</t>
  </si>
  <si>
    <t>Berechnung</t>
  </si>
  <si>
    <t>Preis des Calls bei Abschluss</t>
  </si>
  <si>
    <t>Basispreis des Calls</t>
  </si>
  <si>
    <t>Preis des Basiswerts</t>
  </si>
  <si>
    <t>Wird die Option ausgeübt?</t>
  </si>
  <si>
    <t>Gewinn</t>
  </si>
  <si>
    <t>Preis des Puts bei Abschluss</t>
  </si>
  <si>
    <t>Basispreis der Option</t>
  </si>
  <si>
    <t>Dividenden</t>
  </si>
  <si>
    <t>Laufzeit der Option in Jahren</t>
  </si>
  <si>
    <t>Implizite Volatilität</t>
  </si>
  <si>
    <t>Risikofreier Zins</t>
  </si>
  <si>
    <t xml:space="preserve">Exp(-DT)  </t>
  </si>
  <si>
    <t xml:space="preserve">d1 </t>
  </si>
  <si>
    <t xml:space="preserve">d2  </t>
  </si>
  <si>
    <t>N(d2)</t>
  </si>
  <si>
    <t xml:space="preserve">N(-d2) </t>
  </si>
  <si>
    <t>Verteilungsfunktion der Standardnormalverteilung</t>
  </si>
  <si>
    <t>Ergebnis</t>
  </si>
  <si>
    <t xml:space="preserve">Long Call </t>
  </si>
  <si>
    <t>Long Put</t>
  </si>
  <si>
    <t>Preis der Option</t>
  </si>
  <si>
    <t>Delta</t>
  </si>
  <si>
    <t>Gamma</t>
  </si>
  <si>
    <t>Theta</t>
  </si>
  <si>
    <t>Rho</t>
  </si>
  <si>
    <t>Vega</t>
  </si>
  <si>
    <t>Hebel</t>
  </si>
  <si>
    <t>Omega</t>
  </si>
  <si>
    <t>Preis des Basiswertes bei Kauf</t>
  </si>
  <si>
    <t>Anzahl Calls</t>
  </si>
  <si>
    <t>Anzahl Basiswert</t>
  </si>
  <si>
    <t>Basispreis des Long-Calls</t>
  </si>
  <si>
    <t>Preis des Long-Calls</t>
  </si>
  <si>
    <t>Anzahl Long-Calls</t>
  </si>
  <si>
    <t>Anzahl Short-Calls</t>
  </si>
  <si>
    <t>Preis des Short-Calls</t>
  </si>
  <si>
    <t>Basispreis des Short-Calls</t>
  </si>
  <si>
    <t>Anzahl Long-Puts</t>
  </si>
  <si>
    <t>Preis des Long-Puts</t>
  </si>
  <si>
    <t>Basispreis des Long-Puts</t>
  </si>
  <si>
    <t>Basispreis des Short-Puts</t>
  </si>
  <si>
    <t>Preis des Short-Puts</t>
  </si>
  <si>
    <t>Anzahl Short-Puts</t>
  </si>
  <si>
    <t>Preis des Basiswertes bei Verkauf</t>
  </si>
  <si>
    <t>Anzahl Short Put</t>
  </si>
  <si>
    <t>Preis des Short Put</t>
  </si>
  <si>
    <t>Basispreis des Short Put</t>
  </si>
  <si>
    <t>Anzahl Short-Put</t>
  </si>
  <si>
    <t>Preis des Short-Put</t>
  </si>
  <si>
    <t>Basispreis des Short-Put</t>
  </si>
  <si>
    <t>Anzahl Long-Put</t>
  </si>
  <si>
    <t>Preis des Long-Put</t>
  </si>
  <si>
    <t>Basispreis des Long-Put</t>
  </si>
  <si>
    <t>Anzahl Long-Calls (OTM höherer Basispreis)</t>
  </si>
  <si>
    <t>Preis des Long-Calls (OTM höherer Basispreis)</t>
  </si>
  <si>
    <t>Basispreis des Long-Calls (OTM höherer Basispreis)</t>
  </si>
  <si>
    <t>Anzahl Long-Calls (ITM geringerer Basispreis)</t>
  </si>
  <si>
    <t>Basispreis des Long-Calls (ITM geringerer Basispreis)</t>
  </si>
  <si>
    <t>Preis des Long-Calls (ITM geringerer Basispreis)</t>
  </si>
  <si>
    <t>Anzahl Short-Calls (OTM)</t>
  </si>
  <si>
    <t>Preis des Short-Calls (OTM)</t>
  </si>
  <si>
    <t>Basispreis des Short-Calls (OTM)</t>
  </si>
  <si>
    <t>Anzahl Short-Calls (ITM)</t>
  </si>
  <si>
    <t>Preis des Short-Calls (ITM)</t>
  </si>
  <si>
    <t>Basispreis des Short-Calls (ITM)</t>
  </si>
  <si>
    <t>Anzahl Long-Calls (OTM)</t>
  </si>
  <si>
    <t>Preis des Long-Calls (OTM)</t>
  </si>
  <si>
    <t>Basispreis des Long-Calls (OTM)</t>
  </si>
  <si>
    <t>Anzahl Long-Calls (ITM)</t>
  </si>
  <si>
    <t>Preis des Long-Calls (ITM)</t>
  </si>
  <si>
    <t>Basispreis des Long-Calls (ITM)</t>
  </si>
  <si>
    <t>Anzahl Long-Puts (OTM)</t>
  </si>
  <si>
    <t>Preis des Long-Puts (OTM)</t>
  </si>
  <si>
    <t>Basispreis des Long-Puts (OTM)</t>
  </si>
  <si>
    <t>Anzahl Long-Puts (ITM)</t>
  </si>
  <si>
    <t>Preis des Long-Puts (ITM)</t>
  </si>
  <si>
    <t>Basispreis des Long-Puts (ITM)</t>
  </si>
  <si>
    <t>Anzahl Short-Calls (ATM)</t>
  </si>
  <si>
    <t>Preis des Short-Calls (ATM)</t>
  </si>
  <si>
    <t>Basispreis des Short-Calls (ATM)</t>
  </si>
  <si>
    <t>Anzahl Short-Puts (OTM)</t>
  </si>
  <si>
    <t>Preis des Short-Puts (OTM)</t>
  </si>
  <si>
    <t>Basispreis des Short-Puts (OTM)</t>
  </si>
  <si>
    <t>Preis des Short-Puts (ATM)</t>
  </si>
  <si>
    <t>Basispreis des Short-Puts (ATM)</t>
  </si>
  <si>
    <t>Anzahl Short-Puts (ATM)</t>
  </si>
  <si>
    <t>Anzahl Short-Call</t>
  </si>
  <si>
    <t>Preis des Short-Call</t>
  </si>
  <si>
    <t>Basispreis des Short-Call</t>
  </si>
  <si>
    <t>Anzahl Short-Calls (OTM höherer Basispreis)</t>
  </si>
  <si>
    <t>Preis des Short-Calls (OTM höherer Basispreis)</t>
  </si>
  <si>
    <t>Basispreis des Short-Calls (OTM höherer Basispreis)</t>
  </si>
  <si>
    <t>Anzahl Short-Calls (ITM geringerer Basispreis)</t>
  </si>
  <si>
    <t>Preis des Short-Calls (ITM geringerer Basispreis)</t>
  </si>
  <si>
    <t>Basispreis des Short-Calls (ITM geringerer Basispreis)</t>
  </si>
  <si>
    <t>Anzahl Short-Puts (ITM)</t>
  </si>
  <si>
    <t>Preis des Short-Puts (ITM)</t>
  </si>
  <si>
    <t>Basispreis des Short-Puts (ITM)</t>
  </si>
  <si>
    <t>Anzahl Long-Calls (ATM)</t>
  </si>
  <si>
    <t>Preis des Long-Calls (ATM)</t>
  </si>
  <si>
    <t>Basispreis des Long-Calls (ATM)</t>
  </si>
  <si>
    <t>Anzahl Long-Puts (ATM)</t>
  </si>
  <si>
    <t>Preis des Long-Puts (ATM)</t>
  </si>
  <si>
    <t>Basispreis des Long-Puts (ATM)</t>
  </si>
  <si>
    <t>Preis des Basiswertes</t>
  </si>
  <si>
    <t>Call Backspread</t>
  </si>
  <si>
    <t>Bull Call Spread</t>
  </si>
  <si>
    <t>Bull Put Spread</t>
  </si>
  <si>
    <t>Protective Put</t>
  </si>
  <si>
    <t>Collar Strategy</t>
  </si>
  <si>
    <t>Covered Put</t>
  </si>
  <si>
    <t>Put Backspread</t>
  </si>
  <si>
    <t>Bear Put Spread</t>
  </si>
  <si>
    <t>Bear Call Spread</t>
  </si>
  <si>
    <t>Condor Options</t>
  </si>
  <si>
    <t>Long Call Butterfly</t>
  </si>
  <si>
    <t>Long Put Butterfly</t>
  </si>
  <si>
    <t>Long Call Ladder</t>
  </si>
  <si>
    <t>Long Put Ladder</t>
  </si>
  <si>
    <t>Short Strangle</t>
  </si>
  <si>
    <t>Short Straddle</t>
  </si>
  <si>
    <t>Short Guts</t>
  </si>
  <si>
    <t>Short Condor Strategie</t>
  </si>
  <si>
    <t>Short Call Butterfly</t>
  </si>
  <si>
    <t>Short Put Butterfly</t>
  </si>
  <si>
    <t>Short Call Ladder</t>
  </si>
  <si>
    <t>Short Put Ladder</t>
  </si>
  <si>
    <t>Long Strangle</t>
  </si>
  <si>
    <t>Long Straddle</t>
  </si>
  <si>
    <t>Strip</t>
  </si>
  <si>
    <t>Strap</t>
  </si>
  <si>
    <t>Long Guts</t>
  </si>
  <si>
    <t>Starker Anstieg</t>
  </si>
  <si>
    <t>Moderater Anstieg</t>
  </si>
  <si>
    <t>Konstante Entwicklung</t>
  </si>
  <si>
    <t>Starker Wertverlust</t>
  </si>
  <si>
    <t>Moderater Wertverlust</t>
  </si>
  <si>
    <t>Protective Call</t>
  </si>
  <si>
    <t>Long Call</t>
  </si>
  <si>
    <t>Short Call</t>
  </si>
  <si>
    <t>Short Put</t>
  </si>
  <si>
    <t>Pharma Group Aktie</t>
  </si>
  <si>
    <t>Strike Put</t>
  </si>
  <si>
    <t>Strike Call</t>
  </si>
  <si>
    <t>Differenz</t>
  </si>
  <si>
    <t>Covered Call OTM</t>
  </si>
  <si>
    <t xml:space="preserve">versus </t>
  </si>
  <si>
    <t>Long Aktie +Short Call</t>
  </si>
  <si>
    <t>p + So</t>
  </si>
  <si>
    <t>c</t>
  </si>
  <si>
    <t>Collar</t>
  </si>
  <si>
    <t>Long Aktie +Short Call+Long Put</t>
  </si>
  <si>
    <t>Bull Call spread</t>
  </si>
  <si>
    <t>Short Call+Long Call</t>
  </si>
  <si>
    <t>Strike Price</t>
  </si>
  <si>
    <t>Long Aktie+Long Put</t>
  </si>
  <si>
    <t>Short Put+Long Put</t>
  </si>
  <si>
    <t>Long Call + Short Call</t>
  </si>
  <si>
    <t># Long Calls</t>
  </si>
  <si>
    <t># Long Puts</t>
  </si>
  <si>
    <t>Grundstrategien, Bullishe und Bearishe Optionsstrategien im Überblick</t>
  </si>
  <si>
    <t>Aktienkurs Pharma Group …</t>
  </si>
  <si>
    <t>steigt stark</t>
  </si>
  <si>
    <t>steigt moderat</t>
  </si>
  <si>
    <t>bleibt konstant</t>
  </si>
  <si>
    <t>sinkt moderat</t>
  </si>
  <si>
    <t>sinkt stark</t>
  </si>
  <si>
    <t>0 - 30</t>
  </si>
  <si>
    <t>30 - 55</t>
  </si>
  <si>
    <t>55 - 85</t>
  </si>
  <si>
    <t>85 - 110</t>
  </si>
  <si>
    <t>110 - 140</t>
  </si>
  <si>
    <t>Neutrale Optionsstrategien im Überblick</t>
  </si>
  <si>
    <t>Ausgangssituation</t>
  </si>
  <si>
    <t>Datum</t>
  </si>
  <si>
    <t>Hoch</t>
  </si>
  <si>
    <t>↗</t>
  </si>
  <si>
    <t>→</t>
  </si>
  <si>
    <t>↑</t>
  </si>
  <si>
    <t>Ernährung und Gesundheit</t>
  </si>
  <si>
    <t>***Bloomberg, VDAX Chart</t>
  </si>
  <si>
    <t>** finanzwende.de</t>
  </si>
  <si>
    <t>Pharma Group</t>
  </si>
  <si>
    <t>Implizite Volatilität (jährlich)</t>
  </si>
  <si>
    <t>Risikofreier Zinssatz</t>
  </si>
  <si>
    <t>Optionslaufzeit in Jahren</t>
  </si>
  <si>
    <t>Mögliche Kursentwicklung</t>
  </si>
  <si>
    <t>Intervall</t>
  </si>
  <si>
    <t>Long Call: Gewinn und Verlustprofil</t>
  </si>
  <si>
    <t>Short Call: Gewinn und Verlustprofil</t>
  </si>
  <si>
    <t>Long Put: Gewinn und Verlustprofil</t>
  </si>
  <si>
    <t>Short Put: Gewinn und Verlustprofil</t>
  </si>
  <si>
    <t>1. Black-Scholes-Merton-Modell inkl. Ableitung der Greeks (Strike = 68)</t>
  </si>
  <si>
    <t>2. Black-Scholes-Merton-Modell inkl. Ableitung der Greeks (Strike = 70)</t>
  </si>
  <si>
    <t>3. Black-Scholes-Merton-Modell inkl. Ableitung der Greeks (Strike = 72)</t>
  </si>
  <si>
    <t>Strike price (1)</t>
  </si>
  <si>
    <t>Strike price (2)</t>
  </si>
  <si>
    <t>Strike price (3)</t>
  </si>
  <si>
    <t>Berechnung des Preises für Kauf- bzw. Verkaufsoption auf die Pharma Group Aktie</t>
  </si>
  <si>
    <t>Möglicher Schlusskurs der Pharma Group Aktie nach einem Jahr (Aktueller Kurs = 70)</t>
  </si>
  <si>
    <t>Möglicher Schlusskurs</t>
  </si>
  <si>
    <t>Erweiterte Optionsstrategien</t>
  </si>
  <si>
    <t>Anzahl Puts</t>
  </si>
  <si>
    <t>Preis des Basiswerts bei Verkauf</t>
  </si>
  <si>
    <t>Strike price Condor (Hoch)</t>
  </si>
  <si>
    <t>Strike price Condor (Niedrig)</t>
  </si>
  <si>
    <t>Basispreis des Puts</t>
  </si>
  <si>
    <t>Volatilität</t>
  </si>
  <si>
    <t>DAX Stand</t>
  </si>
  <si>
    <t>Gesamtbewertung</t>
  </si>
  <si>
    <t>Geschäftsfeld</t>
  </si>
  <si>
    <t>Generika</t>
  </si>
  <si>
    <t>Verbrauchergesundheit</t>
  </si>
  <si>
    <t>Onkologie</t>
  </si>
  <si>
    <t>Auswirkungen auf die Branchen der Kunden der Pharma-Gruppe?</t>
  </si>
  <si>
    <t>Einzelhandelsketten</t>
  </si>
  <si>
    <t>Staatlich geförderte Gesundheitssysteme</t>
  </si>
  <si>
    <t>Anbieter von Managed Care</t>
  </si>
  <si>
    <t>Private Gesundheitssysteme</t>
  </si>
  <si>
    <t>Großhändler für Arzneimittel</t>
  </si>
  <si>
    <t>1. EZB Zinssätze unverändert bei:*</t>
  </si>
  <si>
    <t xml:space="preserve">   - Hauptrefinanzierungszinssatz: 0.00%</t>
  </si>
  <si>
    <t xml:space="preserve">   - Einlagefazilität: -0,5%</t>
  </si>
  <si>
    <t xml:space="preserve">   - Spitzenrefinanzierungsfazilität: 0,25%</t>
  </si>
  <si>
    <t>2. Die EZB kündigt ein Pandemie-Notkaufprogramm (PEPP) im Umfang von 750 Mrd. EUR an.</t>
  </si>
  <si>
    <t>3. FED: Senkung des Leitzinses auf 0,00%</t>
  </si>
  <si>
    <t>* Europäische Zentralbank</t>
  </si>
  <si>
    <t>Antizyklischer Kapitalpuffer (Countercyclical capital buffer - CCyB):                                                                                             Die BAFin senkte die inländische CCyB-Quote auf 0%**</t>
  </si>
  <si>
    <t>Bundesarbeitsministerium sichert Arbeitnehmern Kurzarbeitergeld zu</t>
  </si>
  <si>
    <t>Wie kann der aktuelle Stand des VDAX bewertet werden?</t>
  </si>
  <si>
    <t>Der VDAX liegt mit 82,23 Indexpunkten im Vergleich zu einem Durchschnitt von 25,62 sehr hoch (YTM 2020: 01.01.2020 bis 18.03.2020).***</t>
  </si>
  <si>
    <t>Auswirkungen der GELDPOLITIK der Zentralbank: Welche Maßnahmen sind bereits umgesetzt worden?</t>
  </si>
  <si>
    <t>Auswirkungen der REGULIERUNGSPOLITIK: Welche Maßnahmen sind bereits umgesetzt worden?</t>
  </si>
  <si>
    <t>Auswirkungen der FISKALPOLITIK: Welche Maßnahmen sind bereits umgesetzt worden?</t>
  </si>
  <si>
    <t>Welche Optionsstrategie sollte angewendet werden? Warum?</t>
  </si>
  <si>
    <t>Aktienkurs (Stand: 18. März 2020)</t>
  </si>
  <si>
    <t>Aktienkurs (Stand: 18. März 2021)</t>
  </si>
  <si>
    <t>Long Call Preis</t>
  </si>
  <si>
    <t>Long Put Preis</t>
  </si>
  <si>
    <t>18. März 2020</t>
  </si>
  <si>
    <t>Wie sieht die Kassenposition am 18. März 2021 aus?</t>
  </si>
  <si>
    <t>Kassenposition (Stand: 18. März 2020)</t>
  </si>
  <si>
    <t># Strap-Investitionen</t>
  </si>
  <si>
    <t>Kasse und Gewinn</t>
  </si>
  <si>
    <t>Kassenposition (Stand: 18. März 2021)</t>
  </si>
  <si>
    <t>Antizyklischer Kapitalpuffer</t>
  </si>
  <si>
    <t>Geld- und Regulierungspolitik</t>
  </si>
  <si>
    <t>Aktienkurs Pharma Group und VCAX</t>
  </si>
  <si>
    <t>VDAX (Stand: 18. März 2020)</t>
  </si>
  <si>
    <t>DAX (Stand: 18. März 2020)</t>
  </si>
  <si>
    <t>Handlungsempfehlungen abhängig von der aktuellen Börsenlage</t>
  </si>
  <si>
    <t>Ranking der Strategien abhängig von 5 Börsenszenarien</t>
  </si>
  <si>
    <t>Aktienkurs-Intervall (in €)</t>
  </si>
  <si>
    <t>Gezahlte/erhaltene Prämie</t>
  </si>
  <si>
    <t>Kapitaleinsatz</t>
  </si>
  <si>
    <t>IP-Ratio</t>
  </si>
  <si>
    <t>Gesamtkapitaleinsatz (in €)</t>
  </si>
  <si>
    <t>Beste Strategie</t>
  </si>
  <si>
    <t>Schlechteste Strategie</t>
  </si>
  <si>
    <t>Gesamtkapitaleinsatz</t>
  </si>
  <si>
    <t>Erhaltene/bezahlte Prämie</t>
  </si>
  <si>
    <t>Investition mittels Strap (Stand: 18. März 2020)</t>
  </si>
  <si>
    <t>Grundstrategien, Bullishe und Bearishe Optionsstrategien im Überblick: Durchschnittlicher Gewinn/Verlust</t>
  </si>
  <si>
    <t>Neutrale Optionsstrategien im Überblick: Durchschnittlicher Gewinn/Verlust</t>
  </si>
  <si>
    <t>Berechnung des durchschnittlichen Gewinns bzw. Verlust aller Strategien innerhalb des jeweiligen Aktienkursintervalls</t>
  </si>
  <si>
    <t>Long Call/Put Butterfly</t>
  </si>
  <si>
    <t>Prämisse bei der Berechnung der Prämie pro Optionsstrategie:</t>
  </si>
  <si>
    <t>Die Pharma Group Aktien sind schon im Besitz des Investors</t>
  </si>
  <si>
    <t>Aktienkursentwicklung in fünf Gruppen eingeteilt (in €)</t>
  </si>
  <si>
    <t>bzw. bleiben unberücksichtigt bei Short-Positionen (Bsp. Covered Put)</t>
  </si>
  <si>
    <t>1. EZB Zinssätze unverändert bei:</t>
  </si>
  <si>
    <t xml:space="preserve">2. Die EZB kündigt ein Pandemie-Notkaufprogramm an in Höhe von </t>
  </si>
  <si>
    <t>Basispreis des Long Call</t>
  </si>
  <si>
    <t>Basispreis des Long Put</t>
  </si>
  <si>
    <r>
      <t>(rf-D+0.5*V</t>
    </r>
    <r>
      <rPr>
        <vertAlign val="superscript"/>
        <sz val="10"/>
        <color indexed="8"/>
        <rFont val="Arial"/>
        <family val="2"/>
      </rPr>
      <t>2</t>
    </r>
    <r>
      <rPr>
        <sz val="10"/>
        <color indexed="8"/>
        <rFont val="Arial"/>
        <family val="2"/>
      </rPr>
      <t>)</t>
    </r>
  </si>
  <si>
    <t xml:space="preserve">Exp(-rf * T)  </t>
  </si>
  <si>
    <t xml:space="preserve">N(d1) </t>
  </si>
  <si>
    <t xml:space="preserve">N(-d1)   </t>
  </si>
  <si>
    <t>Callpreis (Condor (Hoch)</t>
  </si>
  <si>
    <t>Callpreis (Condor (Niedrig)</t>
  </si>
  <si>
    <t>Schritt 1: Durchschnittlicher Gewinn/Verlust aller Strategien innerhalb des jeweiligen Aktienkursintervalls</t>
  </si>
  <si>
    <t>Schritt 2 und 3: Gewinn/Verlust unter Einbeziehung der IP-Ratio</t>
  </si>
  <si>
    <t>Schritt 4: Die beste Strategie pro Börsenszenario</t>
  </si>
  <si>
    <t>Schritt 5: Die schlechteste Strategie pro Börsenszenario</t>
  </si>
  <si>
    <t>Bewertung der Entwicklung der Geschäftsbereiche der Pharma-Gruppe</t>
  </si>
  <si>
    <t>Entwicklung</t>
  </si>
  <si>
    <t>Kundenbranchen</t>
  </si>
  <si>
    <t xml:space="preserve"> - insbesondere die Makropotenzialpolitik. Die Mikropotentialpolitik kann hier ignoriert werden. Die Effizienz der Geldpolitik wird durch die Regulierungspolitik erhöht.</t>
  </si>
  <si>
    <t>Aufgrund eines DAX P/B-Multiples von ~1 kann davon ausgegangen werden, dass der DAX am Tiefpunkt angelangt ist. Der VDAX ist sehr hoch, und es könnte in den nächsten Tagen einen Rebound geben. Der Kauf von Calls scheint eine gute Strategie zu sein, obwohl man nie in ein fallendes Messer greifen sollte. Um sich nach unten abzusichern, kann auch ein Put gekauft werden. Um von dem erwarteten Rebound zu profitieren, können zwei Calls gekauft werden =&gt; Hier könnte der erweiterte Optionsstrategie "Strap" gewählt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</si>
</sst>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 _-* #,##0_-;[Red]\(#,##0\);_-* &quot;-&quot;_-;_-@_-"/>
    <numFmt numFmtId="166" formatCode="\ _-* #,##0.00_-;[Red]\(#,##0.00\);_-* &quot;-&quot;_-;_-@_-"/>
    <numFmt numFmtId="167" formatCode="_-* #,##0_-;[Red]\(#,##0\);_-* &quot;-&quot;_-;_-@_-"/>
    <numFmt numFmtId="168" formatCode="_-* #,##0.00_-;[Red]\(#,##0.00\);_-* &quot;-&quot;_-;_-@_-"/>
    <numFmt numFmtId="169" formatCode="_-??0.0%_t;\-??0.0%_t"/>
    <numFmt numFmtId="170" formatCode="_-??0.00%_t;\-??0.00%_t"/>
    <numFmt numFmtId="171" formatCode="_-* #,##0.0000_-;[Red]\(#,##0.0000\);_-* &quot;-&quot;_-;_-@_-"/>
    <numFmt numFmtId="172" formatCode="#,##0.0000_ ;[Red]\-#,##0.0000\ "/>
    <numFmt numFmtId="173" formatCode="0.0%"/>
  </numFmts>
  <fonts count="23" x14ac:knownFonts="1">
    <font>
      <sz val="11"/>
      <color theme="1"/>
      <name val="Calibri"/>
      <family val="2"/>
      <scheme val="minor"/>
    </font>
    <font>
      <b/>
      <sz val="12"/>
      <color indexed="8"/>
      <name val="Arial"/>
      <family val="2"/>
    </font>
    <font>
      <b/>
      <sz val="10"/>
      <color indexed="9"/>
      <name val="Arial"/>
      <family val="2"/>
    </font>
    <font>
      <sz val="10"/>
      <color indexed="8"/>
      <name val="Arial"/>
      <family val="2"/>
    </font>
    <font>
      <sz val="10"/>
      <name val="Arial"/>
      <family val="2"/>
    </font>
    <font>
      <b/>
      <sz val="12"/>
      <name val="Arial"/>
      <family val="2"/>
    </font>
    <font>
      <vertAlign val="superscript"/>
      <sz val="10"/>
      <color indexed="8"/>
      <name val="Arial"/>
      <family val="2"/>
    </font>
    <font>
      <b/>
      <sz val="10"/>
      <name val="Arial"/>
      <family val="2"/>
    </font>
    <font>
      <b/>
      <sz val="11"/>
      <color theme="1"/>
      <name val="Calibri"/>
      <family val="2"/>
      <scheme val="minor"/>
    </font>
    <font>
      <b/>
      <sz val="11"/>
      <color theme="0"/>
      <name val="Calibri"/>
      <family val="2"/>
      <scheme val="minor"/>
    </font>
    <font>
      <b/>
      <sz val="14"/>
      <color theme="1"/>
      <name val="Calibri"/>
      <family val="2"/>
      <scheme val="minor"/>
    </font>
    <font>
      <sz val="11"/>
      <color theme="1"/>
      <name val="Calibri"/>
      <family val="2"/>
      <scheme val="minor"/>
    </font>
    <font>
      <b/>
      <sz val="12"/>
      <color theme="1"/>
      <name val="Calibri"/>
      <family val="2"/>
      <scheme val="minor"/>
    </font>
    <font>
      <sz val="12"/>
      <color rgb="FF00B050"/>
      <name val="Cambria"/>
      <family val="1"/>
    </font>
    <font>
      <sz val="12"/>
      <color theme="7" tint="-0.249977111117893"/>
      <name val="Cambria"/>
      <family val="1"/>
    </font>
    <font>
      <sz val="12"/>
      <color rgb="FFFF0000"/>
      <name val="Cambria"/>
      <family val="1"/>
    </font>
    <font>
      <i/>
      <sz val="11"/>
      <color theme="1"/>
      <name val="Calibri"/>
      <family val="2"/>
      <scheme val="minor"/>
    </font>
    <font>
      <b/>
      <sz val="12"/>
      <color theme="0"/>
      <name val="Calibri"/>
      <family val="2"/>
      <scheme val="minor"/>
    </font>
    <font>
      <i/>
      <sz val="9"/>
      <name val="Calibri"/>
      <family val="2"/>
      <scheme val="minor"/>
    </font>
    <font>
      <sz val="12"/>
      <color theme="1"/>
      <name val="Calibri"/>
      <family val="2"/>
      <scheme val="minor"/>
    </font>
    <font>
      <b/>
      <sz val="10"/>
      <color theme="0"/>
      <name val="Arial"/>
      <family val="2"/>
    </font>
    <font>
      <b/>
      <sz val="20"/>
      <color theme="1"/>
      <name val="Calibri"/>
      <family val="2"/>
      <scheme val="minor"/>
    </font>
    <font>
      <sz val="10"/>
      <color rgb="FFFF0000"/>
      <name val="Arial"/>
      <family val="2"/>
    </font>
  </fonts>
  <fills count="22">
    <fill>
      <patternFill patternType="none"/>
    </fill>
    <fill>
      <patternFill patternType="gray125"/>
    </fill>
    <fill>
      <patternFill patternType="solid">
        <fgColor indexed="18"/>
        <bgColor indexed="64"/>
      </patternFill>
    </fill>
    <fill>
      <patternFill patternType="solid">
        <fgColor rgb="FFFFCC99"/>
        <bgColor indexed="64"/>
      </patternFill>
    </fill>
    <fill>
      <patternFill patternType="solid">
        <fgColor rgb="FFEEECE1"/>
        <bgColor indexed="64"/>
      </patternFill>
    </fill>
    <fill>
      <patternFill patternType="solid">
        <fgColor theme="0"/>
        <bgColor indexed="64"/>
      </patternFill>
    </fill>
    <fill>
      <patternFill patternType="solid">
        <fgColor indexed="9"/>
        <bgColor indexed="64"/>
      </patternFill>
    </fill>
    <fill>
      <patternFill patternType="solid">
        <fgColor rgb="FFFF0000"/>
        <bgColor indexed="64"/>
      </patternFill>
    </fill>
    <fill>
      <patternFill patternType="solid">
        <fgColor theme="0" tint="-0.14999847407452621"/>
        <bgColor indexed="64"/>
      </patternFill>
    </fill>
    <fill>
      <patternFill patternType="solid">
        <fgColor theme="9"/>
        <bgColor indexed="64"/>
      </patternFill>
    </fill>
    <fill>
      <patternFill patternType="solid">
        <fgColor rgb="FF92D050"/>
        <bgColor indexed="64"/>
      </patternFill>
    </fill>
    <fill>
      <patternFill patternType="solid">
        <fgColor rgb="FFFFC000"/>
        <bgColor indexed="64"/>
      </patternFill>
    </fill>
    <fill>
      <patternFill patternType="solid">
        <fgColor rgb="FF00B050"/>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s>
  <borders count="105">
    <border>
      <left/>
      <right/>
      <top/>
      <bottom/>
      <diagonal/>
    </border>
    <border>
      <left style="medium">
        <color auto="1"/>
      </left>
      <right/>
      <top style="medium">
        <color auto="1"/>
      </top>
      <bottom/>
      <diagonal/>
    </border>
    <border>
      <left style="medium">
        <color auto="1"/>
      </left>
      <right style="hair">
        <color auto="1"/>
      </right>
      <top style="thin">
        <color auto="1"/>
      </top>
      <bottom style="hair">
        <color auto="1"/>
      </bottom>
      <diagonal/>
    </border>
    <border>
      <left style="medium">
        <color auto="1"/>
      </left>
      <right style="hair">
        <color auto="1"/>
      </right>
      <top style="hair">
        <color auto="1"/>
      </top>
      <bottom style="medium">
        <color auto="1"/>
      </bottom>
      <diagonal/>
    </border>
    <border>
      <left style="medium">
        <color auto="1"/>
      </left>
      <right style="hair">
        <color auto="1"/>
      </right>
      <top style="thin">
        <color auto="1"/>
      </top>
      <bottom style="medium">
        <color auto="1"/>
      </bottom>
      <diagonal/>
    </border>
    <border>
      <left/>
      <right style="medium">
        <color auto="1"/>
      </right>
      <top style="medium">
        <color auto="1"/>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medium">
        <color auto="1"/>
      </bottom>
      <diagonal/>
    </border>
    <border>
      <left/>
      <right/>
      <top/>
      <bottom style="hair">
        <color auto="1"/>
      </bottom>
      <diagonal/>
    </border>
    <border>
      <left style="hair">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hair">
        <color auto="1"/>
      </right>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bottom style="medium">
        <color auto="1"/>
      </bottom>
      <diagonal/>
    </border>
    <border>
      <left style="medium">
        <color auto="1"/>
      </left>
      <right style="hair">
        <color auto="1"/>
      </right>
      <top/>
      <bottom style="thin">
        <color auto="1"/>
      </bottom>
      <diagonal/>
    </border>
    <border>
      <left/>
      <right style="medium">
        <color auto="1"/>
      </right>
      <top/>
      <bottom style="thin">
        <color auto="1"/>
      </bottom>
      <diagonal/>
    </border>
    <border>
      <left/>
      <right style="medium">
        <color auto="1"/>
      </right>
      <top/>
      <bottom style="hair">
        <color auto="1"/>
      </bottom>
      <diagonal/>
    </border>
    <border>
      <left style="medium">
        <color auto="1"/>
      </left>
      <right style="hair">
        <color auto="1"/>
      </right>
      <top style="hair">
        <color auto="1"/>
      </top>
      <bottom style="thin">
        <color auto="1"/>
      </bottom>
      <diagonal/>
    </border>
    <border>
      <left style="hair">
        <color auto="1"/>
      </left>
      <right style="medium">
        <color auto="1"/>
      </right>
      <top style="hair">
        <color auto="1"/>
      </top>
      <bottom style="thin">
        <color auto="1"/>
      </bottom>
      <diagonal/>
    </border>
    <border>
      <left/>
      <right/>
      <top style="medium">
        <color auto="1"/>
      </top>
      <bottom/>
      <diagonal/>
    </border>
    <border>
      <left style="hair">
        <color auto="1"/>
      </left>
      <right style="hair">
        <color auto="1"/>
      </right>
      <top style="hair">
        <color auto="1"/>
      </top>
      <bottom style="hair">
        <color auto="1"/>
      </bottom>
      <diagonal/>
    </border>
    <border>
      <left/>
      <right style="medium">
        <color auto="1"/>
      </right>
      <top style="hair">
        <color auto="1"/>
      </top>
      <bottom style="hair">
        <color auto="1"/>
      </bottom>
      <diagonal/>
    </border>
    <border>
      <left style="hair">
        <color auto="1"/>
      </left>
      <right style="hair">
        <color auto="1"/>
      </right>
      <top style="hair">
        <color auto="1"/>
      </top>
      <bottom style="medium">
        <color auto="1"/>
      </bottom>
      <diagonal/>
    </border>
    <border>
      <left/>
      <right style="medium">
        <color auto="1"/>
      </right>
      <top style="hair">
        <color auto="1"/>
      </top>
      <bottom style="medium">
        <color auto="1"/>
      </bottom>
      <diagonal/>
    </border>
    <border>
      <left style="medium">
        <color auto="1"/>
      </left>
      <right/>
      <top/>
      <bottom/>
      <diagonal/>
    </border>
    <border>
      <left/>
      <right style="medium">
        <color auto="1"/>
      </right>
      <top/>
      <bottom/>
      <diagonal/>
    </border>
    <border>
      <left style="medium">
        <color auto="1"/>
      </left>
      <right style="hair">
        <color auto="1"/>
      </right>
      <top/>
      <bottom style="medium">
        <color auto="1"/>
      </bottom>
      <diagonal/>
    </border>
    <border>
      <left style="medium">
        <color auto="1"/>
      </left>
      <right style="hair">
        <color auto="1"/>
      </right>
      <top style="thin">
        <color auto="1"/>
      </top>
      <bottom style="thin">
        <color indexed="64"/>
      </bottom>
      <diagonal/>
    </border>
    <border>
      <left style="hair">
        <color auto="1"/>
      </left>
      <right style="medium">
        <color auto="1"/>
      </right>
      <top style="thin">
        <color auto="1"/>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auto="1"/>
      </right>
      <top style="thin">
        <color auto="1"/>
      </top>
      <bottom style="hair">
        <color auto="1"/>
      </bottom>
      <diagonal/>
    </border>
    <border>
      <left style="hair">
        <color auto="1"/>
      </left>
      <right style="thin">
        <color indexed="64"/>
      </right>
      <top style="thin">
        <color auto="1"/>
      </top>
      <bottom style="hair">
        <color auto="1"/>
      </bottom>
      <diagonal/>
    </border>
    <border>
      <left style="thin">
        <color indexed="64"/>
      </left>
      <right style="hair">
        <color auto="1"/>
      </right>
      <top style="thin">
        <color auto="1"/>
      </top>
      <bottom style="thin">
        <color indexed="64"/>
      </bottom>
      <diagonal/>
    </border>
    <border>
      <left style="hair">
        <color auto="1"/>
      </left>
      <right style="thin">
        <color indexed="64"/>
      </right>
      <top style="thin">
        <color auto="1"/>
      </top>
      <bottom style="thin">
        <color indexed="64"/>
      </bottom>
      <diagonal/>
    </border>
    <border>
      <left style="thin">
        <color indexed="64"/>
      </left>
      <right/>
      <top style="thin">
        <color indexed="64"/>
      </top>
      <bottom style="medium">
        <color auto="1"/>
      </bottom>
      <diagonal/>
    </border>
    <border>
      <left style="hair">
        <color auto="1"/>
      </left>
      <right style="thin">
        <color indexed="64"/>
      </right>
      <top/>
      <bottom style="hair">
        <color auto="1"/>
      </bottom>
      <diagonal/>
    </border>
    <border>
      <left/>
      <right/>
      <top/>
      <bottom style="thin">
        <color indexed="64"/>
      </bottom>
      <diagonal/>
    </border>
    <border>
      <left style="hair">
        <color auto="1"/>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auto="1"/>
      </right>
      <top/>
      <bottom/>
      <diagonal/>
    </border>
    <border>
      <left style="thin">
        <color indexed="64"/>
      </left>
      <right style="medium">
        <color auto="1"/>
      </right>
      <top/>
      <bottom style="thin">
        <color indexed="64"/>
      </bottom>
      <diagonal/>
    </border>
    <border>
      <left style="medium">
        <color theme="8" tint="-0.499984740745262"/>
      </left>
      <right style="thin">
        <color theme="8" tint="-0.499984740745262"/>
      </right>
      <top style="medium">
        <color theme="8" tint="-0.499984740745262"/>
      </top>
      <bottom style="thin">
        <color theme="8" tint="-0.499984740745262"/>
      </bottom>
      <diagonal/>
    </border>
    <border>
      <left style="thin">
        <color theme="8" tint="-0.499984740745262"/>
      </left>
      <right style="medium">
        <color theme="8" tint="-0.499984740745262"/>
      </right>
      <top style="medium">
        <color theme="8" tint="-0.499984740745262"/>
      </top>
      <bottom style="thin">
        <color theme="8" tint="-0.499984740745262"/>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thin">
        <color theme="8" tint="-0.499984740745262"/>
      </bottom>
      <diagonal/>
    </border>
    <border>
      <left style="thin">
        <color theme="8" tint="-0.499984740745262"/>
      </left>
      <right style="medium">
        <color theme="8" tint="-0.499984740745262"/>
      </right>
      <top style="thin">
        <color theme="8" tint="-0.499984740745262"/>
      </top>
      <bottom style="medium">
        <color theme="8" tint="-0.499984740745262"/>
      </bottom>
      <diagonal/>
    </border>
    <border>
      <left style="medium">
        <color theme="8" tint="-0.499984740745262"/>
      </left>
      <right style="thin">
        <color theme="8" tint="-0.499984740745262"/>
      </right>
      <top style="medium">
        <color theme="8" tint="-0.499984740745262"/>
      </top>
      <bottom style="medium">
        <color theme="8" tint="-0.499984740745262"/>
      </bottom>
      <diagonal/>
    </border>
    <border>
      <left style="thin">
        <color theme="8" tint="-0.499984740745262"/>
      </left>
      <right style="medium">
        <color theme="8" tint="-0.499984740745262"/>
      </right>
      <top style="medium">
        <color theme="8" tint="-0.499984740745262"/>
      </top>
      <bottom style="medium">
        <color theme="8" tint="-0.499984740745262"/>
      </bottom>
      <diagonal/>
    </border>
    <border>
      <left/>
      <right style="hair">
        <color auto="1"/>
      </right>
      <top style="hair">
        <color auto="1"/>
      </top>
      <bottom style="hair">
        <color auto="1"/>
      </bottom>
      <diagonal/>
    </border>
    <border>
      <left style="medium">
        <color auto="1"/>
      </left>
      <right/>
      <top style="hair">
        <color auto="1"/>
      </top>
      <bottom style="hair">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theme="8" tint="-0.499984740745262"/>
      </right>
      <top style="thin">
        <color indexed="64"/>
      </top>
      <bottom style="thin">
        <color theme="8" tint="-0.499984740745262"/>
      </bottom>
      <diagonal/>
    </border>
    <border>
      <left style="thin">
        <color indexed="64"/>
      </left>
      <right style="thin">
        <color theme="8" tint="-0.499984740745262"/>
      </right>
      <top style="thin">
        <color theme="8" tint="-0.499984740745262"/>
      </top>
      <bottom style="thin">
        <color theme="8" tint="-0.499984740745262"/>
      </bottom>
      <diagonal/>
    </border>
    <border>
      <left style="thin">
        <color indexed="64"/>
      </left>
      <right style="thin">
        <color theme="8" tint="-0.499984740745262"/>
      </right>
      <top style="thin">
        <color theme="8" tint="-0.499984740745262"/>
      </top>
      <bottom style="thin">
        <color indexed="64"/>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top style="medium">
        <color auto="1"/>
      </top>
      <bottom/>
      <diagonal/>
    </border>
    <border>
      <left style="thin">
        <color indexed="64"/>
      </left>
      <right/>
      <top style="medium">
        <color auto="1"/>
      </top>
      <bottom style="thin">
        <color indexed="64"/>
      </bottom>
      <diagonal/>
    </border>
    <border>
      <left style="medium">
        <color auto="1"/>
      </left>
      <right/>
      <top style="thin">
        <color indexed="64"/>
      </top>
      <bottom style="hair">
        <color auto="1"/>
      </bottom>
      <diagonal/>
    </border>
    <border>
      <left/>
      <right style="hair">
        <color auto="1"/>
      </right>
      <top style="thin">
        <color indexed="64"/>
      </top>
      <bottom style="hair">
        <color auto="1"/>
      </bottom>
      <diagonal/>
    </border>
    <border>
      <left style="medium">
        <color auto="1"/>
      </left>
      <right/>
      <top style="hair">
        <color auto="1"/>
      </top>
      <bottom style="thin">
        <color indexed="64"/>
      </bottom>
      <diagonal/>
    </border>
    <border>
      <left/>
      <right style="hair">
        <color auto="1"/>
      </right>
      <top style="hair">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auto="1"/>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auto="1"/>
      </left>
      <right style="medium">
        <color indexed="64"/>
      </right>
      <top/>
      <bottom style="hair">
        <color auto="1"/>
      </bottom>
      <diagonal/>
    </border>
    <border>
      <left style="thin">
        <color indexed="64"/>
      </left>
      <right/>
      <top style="hair">
        <color auto="1"/>
      </top>
      <bottom style="hair">
        <color auto="1"/>
      </bottom>
      <diagonal/>
    </border>
    <border>
      <left style="thin">
        <color indexed="64"/>
      </left>
      <right/>
      <top style="hair">
        <color auto="1"/>
      </top>
      <bottom style="thin">
        <color indexed="64"/>
      </bottom>
      <diagonal/>
    </border>
    <border>
      <left style="thin">
        <color indexed="64"/>
      </left>
      <right style="thin">
        <color theme="8" tint="-0.499984740745262"/>
      </right>
      <top style="thin">
        <color indexed="64"/>
      </top>
      <bottom style="thin">
        <color indexed="64"/>
      </bottom>
      <diagonal/>
    </border>
    <border>
      <left style="thin">
        <color indexed="64"/>
      </left>
      <right/>
      <top style="thin">
        <color indexed="64"/>
      </top>
      <bottom style="hair">
        <color auto="1"/>
      </bottom>
      <diagonal/>
    </border>
    <border>
      <left style="hair">
        <color auto="1"/>
      </left>
      <right style="medium">
        <color indexed="64"/>
      </right>
      <top/>
      <bottom style="thin">
        <color indexed="64"/>
      </bottom>
      <diagonal/>
    </border>
    <border>
      <left style="medium">
        <color auto="1"/>
      </left>
      <right/>
      <top/>
      <bottom style="thin">
        <color auto="1"/>
      </bottom>
      <diagonal/>
    </border>
    <border>
      <left/>
      <right style="thin">
        <color indexed="64"/>
      </right>
      <top style="medium">
        <color indexed="64"/>
      </top>
      <bottom style="medium">
        <color indexed="64"/>
      </bottom>
      <diagonal/>
    </border>
    <border>
      <left style="hair">
        <color auto="1"/>
      </left>
      <right style="thin">
        <color indexed="64"/>
      </right>
      <top/>
      <bottom style="medium">
        <color indexed="64"/>
      </bottom>
      <diagonal/>
    </border>
    <border>
      <left style="medium">
        <color indexed="64"/>
      </left>
      <right/>
      <top style="hair">
        <color auto="1"/>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6">
    <xf numFmtId="0" fontId="0" fillId="0" borderId="0"/>
    <xf numFmtId="0" fontId="2" fillId="2" borderId="0">
      <alignment vertical="center"/>
    </xf>
    <xf numFmtId="165" fontId="4" fillId="3" borderId="0"/>
    <xf numFmtId="167" fontId="4" fillId="4" borderId="8"/>
    <xf numFmtId="169" fontId="4" fillId="3" borderId="0"/>
    <xf numFmtId="9" fontId="11" fillId="0" borderId="0" applyFont="0" applyFill="0" applyBorder="0" applyAlignment="0" applyProtection="0"/>
  </cellStyleXfs>
  <cellXfs count="367">
    <xf numFmtId="0" fontId="0" fillId="0" borderId="0" xfId="0"/>
    <xf numFmtId="0" fontId="1" fillId="0" borderId="0" xfId="0" applyFont="1"/>
    <xf numFmtId="0" fontId="2" fillId="2" borderId="1" xfId="1" applyBorder="1">
      <alignment vertical="center"/>
    </xf>
    <xf numFmtId="0" fontId="3" fillId="0" borderId="2" xfId="0" applyFont="1" applyBorder="1"/>
    <xf numFmtId="0" fontId="3" fillId="0" borderId="3" xfId="0" applyFont="1" applyBorder="1"/>
    <xf numFmtId="0" fontId="3" fillId="0" borderId="0" xfId="0" applyFont="1"/>
    <xf numFmtId="0" fontId="3" fillId="0" borderId="4" xfId="0" applyFont="1" applyBorder="1"/>
    <xf numFmtId="0" fontId="2" fillId="2" borderId="5" xfId="1" applyBorder="1">
      <alignment vertical="center"/>
    </xf>
    <xf numFmtId="166" fontId="4" fillId="3" borderId="6" xfId="2" applyNumberFormat="1" applyBorder="1"/>
    <xf numFmtId="164" fontId="0" fillId="0" borderId="0" xfId="0" applyNumberFormat="1"/>
    <xf numFmtId="0" fontId="0" fillId="0" borderId="0" xfId="0" applyAlignment="1">
      <alignment horizontal="center"/>
    </xf>
    <xf numFmtId="0" fontId="2" fillId="2" borderId="10" xfId="1" applyBorder="1">
      <alignment vertical="center"/>
    </xf>
    <xf numFmtId="0" fontId="2" fillId="2" borderId="11" xfId="1" applyBorder="1">
      <alignment vertical="center"/>
    </xf>
    <xf numFmtId="0" fontId="3" fillId="0" borderId="12" xfId="0" applyFont="1" applyBorder="1"/>
    <xf numFmtId="0" fontId="4" fillId="6" borderId="0" xfId="0" applyFont="1" applyFill="1"/>
    <xf numFmtId="0" fontId="5" fillId="0" borderId="0" xfId="0" applyFont="1"/>
    <xf numFmtId="10" fontId="3" fillId="0" borderId="0" xfId="0" applyNumberFormat="1" applyFont="1"/>
    <xf numFmtId="171" fontId="4" fillId="4" borderId="16" xfId="3" quotePrefix="1" applyNumberFormat="1" applyBorder="1"/>
    <xf numFmtId="171" fontId="4" fillId="4" borderId="17" xfId="3" quotePrefix="1" applyNumberFormat="1" applyBorder="1"/>
    <xf numFmtId="171" fontId="4" fillId="4" borderId="19" xfId="3" quotePrefix="1" applyNumberFormat="1" applyBorder="1"/>
    <xf numFmtId="172" fontId="4" fillId="4" borderId="17" xfId="3" quotePrefix="1" applyNumberFormat="1" applyBorder="1"/>
    <xf numFmtId="171" fontId="4" fillId="4" borderId="7" xfId="3" quotePrefix="1" applyNumberFormat="1" applyBorder="1"/>
    <xf numFmtId="0" fontId="2" fillId="2" borderId="20" xfId="1" applyBorder="1" applyAlignment="1">
      <alignment horizontal="center" vertical="center"/>
    </xf>
    <xf numFmtId="0" fontId="2" fillId="2" borderId="5" xfId="1" applyBorder="1" applyAlignment="1">
      <alignment horizontal="center" vertical="center"/>
    </xf>
    <xf numFmtId="171" fontId="4" fillId="4" borderId="21" xfId="3" quotePrefix="1" applyNumberFormat="1" applyBorder="1"/>
    <xf numFmtId="172" fontId="4" fillId="4" borderId="22" xfId="3" quotePrefix="1" applyNumberFormat="1" applyBorder="1"/>
    <xf numFmtId="171" fontId="4" fillId="4" borderId="22" xfId="3" quotePrefix="1" applyNumberFormat="1" applyBorder="1"/>
    <xf numFmtId="172" fontId="4" fillId="4" borderId="21" xfId="3" quotePrefix="1" applyNumberFormat="1" applyBorder="1"/>
    <xf numFmtId="171" fontId="4" fillId="4" borderId="23" xfId="3" quotePrefix="1" applyNumberFormat="1" applyBorder="1"/>
    <xf numFmtId="172" fontId="4" fillId="4" borderId="24" xfId="3" quotePrefix="1" applyNumberFormat="1" applyBorder="1"/>
    <xf numFmtId="0" fontId="3" fillId="0" borderId="27" xfId="0" applyFont="1" applyBorder="1"/>
    <xf numFmtId="0" fontId="3" fillId="0" borderId="28" xfId="0" applyFont="1" applyBorder="1"/>
    <xf numFmtId="0" fontId="2" fillId="2" borderId="1" xfId="1" applyBorder="1" applyAlignment="1">
      <alignment horizontal="center" vertical="center" wrapText="1"/>
    </xf>
    <xf numFmtId="0" fontId="2" fillId="2" borderId="5" xfId="1" applyBorder="1" applyAlignment="1">
      <alignment horizontal="center" vertical="center" wrapText="1"/>
    </xf>
    <xf numFmtId="168" fontId="4" fillId="4" borderId="26" xfId="3" applyNumberFormat="1" applyBorder="1" applyAlignment="1">
      <alignment horizontal="right"/>
    </xf>
    <xf numFmtId="168" fontId="4" fillId="4" borderId="31" xfId="3" applyNumberFormat="1" applyBorder="1" applyAlignment="1">
      <alignment horizontal="right"/>
    </xf>
    <xf numFmtId="0" fontId="3" fillId="5" borderId="0" xfId="0" applyFont="1" applyFill="1"/>
    <xf numFmtId="2" fontId="0" fillId="0" borderId="0" xfId="0" applyNumberFormat="1"/>
    <xf numFmtId="0" fontId="8" fillId="0" borderId="0" xfId="0" applyFont="1"/>
    <xf numFmtId="2" fontId="0" fillId="10" borderId="32" xfId="0" applyNumberFormat="1" applyFill="1" applyBorder="1"/>
    <xf numFmtId="2" fontId="0" fillId="8" borderId="32" xfId="0" applyNumberFormat="1" applyFill="1" applyBorder="1"/>
    <xf numFmtId="2" fontId="0" fillId="11" borderId="32" xfId="0" applyNumberFormat="1" applyFill="1" applyBorder="1"/>
    <xf numFmtId="2" fontId="0" fillId="7" borderId="32" xfId="0" applyNumberFormat="1" applyFill="1" applyBorder="1"/>
    <xf numFmtId="0" fontId="0" fillId="5" borderId="0" xfId="0" applyFill="1"/>
    <xf numFmtId="0" fontId="0" fillId="5" borderId="0" xfId="0" applyFill="1" applyAlignment="1">
      <alignment wrapText="1"/>
    </xf>
    <xf numFmtId="0" fontId="0" fillId="5" borderId="0" xfId="0" applyFill="1" applyAlignment="1">
      <alignment vertical="center"/>
    </xf>
    <xf numFmtId="0" fontId="3" fillId="0" borderId="33" xfId="0" applyFont="1" applyBorder="1"/>
    <xf numFmtId="166" fontId="4" fillId="3" borderId="34" xfId="2" applyNumberFormat="1" applyBorder="1"/>
    <xf numFmtId="0" fontId="3" fillId="0" borderId="35" xfId="0" applyFont="1" applyBorder="1"/>
    <xf numFmtId="0" fontId="0" fillId="0" borderId="32" xfId="0" applyBorder="1"/>
    <xf numFmtId="2" fontId="0" fillId="0" borderId="32" xfId="0" applyNumberFormat="1" applyBorder="1"/>
    <xf numFmtId="2" fontId="0" fillId="9" borderId="32" xfId="0" applyNumberFormat="1" applyFill="1" applyBorder="1"/>
    <xf numFmtId="0" fontId="2" fillId="2" borderId="37" xfId="1" applyBorder="1" applyAlignment="1">
      <alignment horizontal="center" vertical="center" wrapText="1"/>
    </xf>
    <xf numFmtId="168" fontId="4" fillId="4" borderId="38" xfId="3" applyNumberFormat="1" applyBorder="1" applyAlignment="1">
      <alignment horizontal="right"/>
    </xf>
    <xf numFmtId="0" fontId="2" fillId="2" borderId="41" xfId="1" applyBorder="1" applyAlignment="1">
      <alignment horizontal="center" vertical="center" wrapText="1"/>
    </xf>
    <xf numFmtId="0" fontId="2" fillId="2" borderId="42" xfId="1" applyBorder="1" applyAlignment="1">
      <alignment horizontal="center" vertical="center" wrapText="1"/>
    </xf>
    <xf numFmtId="168" fontId="4" fillId="4" borderId="44" xfId="3" applyNumberFormat="1" applyBorder="1" applyAlignment="1">
      <alignment horizontal="right"/>
    </xf>
    <xf numFmtId="168" fontId="4" fillId="4" borderId="46" xfId="3" applyNumberFormat="1" applyBorder="1" applyAlignment="1">
      <alignment horizontal="right"/>
    </xf>
    <xf numFmtId="0" fontId="2" fillId="2" borderId="47" xfId="1" applyBorder="1" applyAlignment="1">
      <alignment horizontal="center" vertical="center" wrapText="1"/>
    </xf>
    <xf numFmtId="0" fontId="2" fillId="2" borderId="41" xfId="1" applyBorder="1">
      <alignment vertical="center"/>
    </xf>
    <xf numFmtId="0" fontId="2" fillId="2" borderId="42" xfId="1" applyBorder="1">
      <alignment vertical="center"/>
    </xf>
    <xf numFmtId="0" fontId="0" fillId="0" borderId="43" xfId="0" applyBorder="1"/>
    <xf numFmtId="0" fontId="0" fillId="0" borderId="44" xfId="0" applyBorder="1"/>
    <xf numFmtId="0" fontId="0" fillId="0" borderId="0" xfId="0" applyBorder="1"/>
    <xf numFmtId="0" fontId="1" fillId="5" borderId="0" xfId="0" applyFont="1" applyFill="1"/>
    <xf numFmtId="0" fontId="3" fillId="0" borderId="0" xfId="0" applyFont="1" applyBorder="1"/>
    <xf numFmtId="166" fontId="4" fillId="3" borderId="0" xfId="2" applyNumberFormat="1" applyBorder="1"/>
    <xf numFmtId="0" fontId="3" fillId="5" borderId="0" xfId="0" applyFont="1" applyFill="1" applyBorder="1"/>
    <xf numFmtId="166" fontId="4" fillId="5" borderId="0" xfId="2" applyNumberFormat="1" applyFill="1" applyBorder="1"/>
    <xf numFmtId="168" fontId="4" fillId="4" borderId="48" xfId="3" applyNumberFormat="1" applyBorder="1" applyAlignment="1">
      <alignment horizontal="right"/>
    </xf>
    <xf numFmtId="168" fontId="4" fillId="4" borderId="49" xfId="3" applyNumberFormat="1" applyBorder="1" applyAlignment="1">
      <alignment horizontal="right"/>
    </xf>
    <xf numFmtId="0" fontId="0" fillId="5" borderId="0" xfId="0" applyFill="1" applyBorder="1"/>
    <xf numFmtId="0" fontId="10" fillId="0" borderId="0" xfId="0" applyFont="1"/>
    <xf numFmtId="0" fontId="2" fillId="2" borderId="1" xfId="1" applyBorder="1" applyAlignment="1">
      <alignment horizontal="left" vertical="center" wrapText="1"/>
    </xf>
    <xf numFmtId="168" fontId="4" fillId="4" borderId="43" xfId="3" applyNumberFormat="1" applyBorder="1" applyAlignment="1">
      <alignment horizontal="right"/>
    </xf>
    <xf numFmtId="168" fontId="4" fillId="4" borderId="45" xfId="3" applyNumberFormat="1" applyBorder="1" applyAlignment="1">
      <alignment horizontal="right"/>
    </xf>
    <xf numFmtId="0" fontId="2" fillId="2" borderId="20" xfId="1" applyBorder="1" applyAlignment="1">
      <alignment horizontal="center" vertical="center" wrapText="1"/>
    </xf>
    <xf numFmtId="0" fontId="0" fillId="5" borderId="0" xfId="0" applyFill="1" applyBorder="1" applyAlignment="1">
      <alignment wrapText="1"/>
    </xf>
    <xf numFmtId="2" fontId="0" fillId="10" borderId="52" xfId="0" applyNumberFormat="1" applyFill="1" applyBorder="1"/>
    <xf numFmtId="2" fontId="0" fillId="8" borderId="52" xfId="0" applyNumberFormat="1" applyFill="1" applyBorder="1"/>
    <xf numFmtId="2" fontId="0" fillId="11" borderId="52" xfId="0" applyNumberFormat="1" applyFill="1" applyBorder="1"/>
    <xf numFmtId="2" fontId="0" fillId="7" borderId="52" xfId="0" applyNumberFormat="1" applyFill="1" applyBorder="1"/>
    <xf numFmtId="0" fontId="8" fillId="11" borderId="32" xfId="0" applyFont="1" applyFill="1" applyBorder="1" applyAlignment="1">
      <alignment horizontal="center"/>
    </xf>
    <xf numFmtId="0" fontId="8" fillId="8" borderId="32" xfId="0" applyFont="1" applyFill="1" applyBorder="1" applyAlignment="1">
      <alignment horizontal="center"/>
    </xf>
    <xf numFmtId="0" fontId="8" fillId="10" borderId="32" xfId="0" applyFont="1" applyFill="1" applyBorder="1" applyAlignment="1">
      <alignment horizontal="center"/>
    </xf>
    <xf numFmtId="0" fontId="12" fillId="5" borderId="0" xfId="0" applyFont="1" applyFill="1"/>
    <xf numFmtId="0" fontId="15" fillId="5" borderId="0" xfId="0" applyFont="1" applyFill="1" applyAlignment="1">
      <alignment horizontal="center" vertical="center"/>
    </xf>
    <xf numFmtId="0" fontId="16" fillId="5" borderId="0" xfId="0" applyFont="1" applyFill="1"/>
    <xf numFmtId="0" fontId="13" fillId="5" borderId="0" xfId="0" applyFont="1" applyFill="1" applyBorder="1" applyAlignment="1">
      <alignment horizontal="center"/>
    </xf>
    <xf numFmtId="0" fontId="9" fillId="16" borderId="0" xfId="0" applyFont="1" applyFill="1"/>
    <xf numFmtId="0" fontId="17" fillId="13" borderId="55" xfId="0" applyFont="1" applyFill="1" applyBorder="1"/>
    <xf numFmtId="0" fontId="17" fillId="13" borderId="56" xfId="0" applyFont="1" applyFill="1" applyBorder="1" applyAlignment="1">
      <alignment horizontal="center"/>
    </xf>
    <xf numFmtId="0" fontId="16" fillId="5" borderId="0" xfId="0" applyFont="1" applyFill="1" applyAlignment="1">
      <alignment horizontal="right"/>
    </xf>
    <xf numFmtId="168" fontId="4" fillId="4" borderId="0" xfId="3" applyNumberFormat="1" applyBorder="1" applyAlignment="1">
      <alignment horizontal="right"/>
    </xf>
    <xf numFmtId="0" fontId="9" fillId="16" borderId="41" xfId="0" applyFont="1" applyFill="1" applyBorder="1"/>
    <xf numFmtId="0" fontId="18" fillId="5" borderId="0" xfId="0" quotePrefix="1" applyFont="1" applyFill="1" applyBorder="1"/>
    <xf numFmtId="0" fontId="13" fillId="17" borderId="58" xfId="0" applyFont="1" applyFill="1" applyBorder="1" applyAlignment="1">
      <alignment horizontal="center" vertical="center"/>
    </xf>
    <xf numFmtId="0" fontId="14" fillId="17" borderId="58" xfId="0" applyFont="1" applyFill="1" applyBorder="1" applyAlignment="1">
      <alignment horizontal="center" vertical="center"/>
    </xf>
    <xf numFmtId="0" fontId="13" fillId="17" borderId="59" xfId="0" applyFont="1" applyFill="1" applyBorder="1" applyAlignment="1">
      <alignment horizontal="center" vertical="center"/>
    </xf>
    <xf numFmtId="0" fontId="13" fillId="17" borderId="61" xfId="0" applyFont="1" applyFill="1" applyBorder="1" applyAlignment="1">
      <alignment horizontal="center" vertical="center"/>
    </xf>
    <xf numFmtId="2" fontId="3" fillId="5" borderId="0" xfId="0" applyNumberFormat="1" applyFont="1" applyFill="1" applyBorder="1" applyAlignment="1">
      <alignment horizontal="center"/>
    </xf>
    <xf numFmtId="166" fontId="4" fillId="15" borderId="6" xfId="2" applyNumberFormat="1" applyFill="1" applyBorder="1"/>
    <xf numFmtId="0" fontId="0" fillId="15" borderId="0" xfId="0" applyFill="1"/>
    <xf numFmtId="166" fontId="4" fillId="15" borderId="29" xfId="2" applyNumberFormat="1" applyFill="1" applyBorder="1"/>
    <xf numFmtId="166" fontId="4" fillId="15" borderId="14" xfId="2" applyNumberFormat="1" applyFill="1" applyBorder="1"/>
    <xf numFmtId="166" fontId="4" fillId="15" borderId="34" xfId="2" applyNumberFormat="1" applyFill="1" applyBorder="1"/>
    <xf numFmtId="2" fontId="3" fillId="15" borderId="25" xfId="0" applyNumberFormat="1" applyFont="1" applyFill="1" applyBorder="1" applyAlignment="1">
      <alignment horizontal="center"/>
    </xf>
    <xf numFmtId="166" fontId="4" fillId="15" borderId="36" xfId="2" applyNumberFormat="1" applyFill="1" applyBorder="1"/>
    <xf numFmtId="2" fontId="3" fillId="15" borderId="30" xfId="0" applyNumberFormat="1" applyFont="1" applyFill="1" applyBorder="1" applyAlignment="1">
      <alignment horizontal="center"/>
    </xf>
    <xf numFmtId="2" fontId="3" fillId="15" borderId="43" xfId="0" applyNumberFormat="1" applyFont="1" applyFill="1" applyBorder="1" applyAlignment="1">
      <alignment horizontal="center"/>
    </xf>
    <xf numFmtId="2" fontId="3" fillId="15" borderId="45" xfId="0" applyNumberFormat="1" applyFont="1" applyFill="1" applyBorder="1" applyAlignment="1">
      <alignment horizontal="center"/>
    </xf>
    <xf numFmtId="166" fontId="4" fillId="15" borderId="9" xfId="2" applyNumberFormat="1" applyFill="1" applyBorder="1"/>
    <xf numFmtId="0" fontId="12" fillId="0" borderId="0" xfId="0" applyFont="1"/>
    <xf numFmtId="0" fontId="19" fillId="0" borderId="0" xfId="0" applyFont="1"/>
    <xf numFmtId="2" fontId="0" fillId="15" borderId="32" xfId="0" applyNumberFormat="1" applyFill="1" applyBorder="1"/>
    <xf numFmtId="168" fontId="4" fillId="17" borderId="44" xfId="3" applyNumberFormat="1" applyFill="1" applyBorder="1" applyAlignment="1">
      <alignment horizontal="right"/>
    </xf>
    <xf numFmtId="168" fontId="4" fillId="17" borderId="46" xfId="3" applyNumberFormat="1" applyFill="1" applyBorder="1" applyAlignment="1">
      <alignment horizontal="right"/>
    </xf>
    <xf numFmtId="0" fontId="9" fillId="16" borderId="42" xfId="0" applyFont="1" applyFill="1" applyBorder="1"/>
    <xf numFmtId="168" fontId="4" fillId="17" borderId="5" xfId="3" quotePrefix="1" applyNumberFormat="1" applyFill="1" applyBorder="1" applyAlignment="1">
      <alignment horizontal="right"/>
    </xf>
    <xf numFmtId="168" fontId="4" fillId="17" borderId="31" xfId="3" applyNumberFormat="1" applyFill="1" applyBorder="1" applyAlignment="1">
      <alignment horizontal="right"/>
    </xf>
    <xf numFmtId="0" fontId="0" fillId="5" borderId="42" xfId="0" applyFill="1" applyBorder="1"/>
    <xf numFmtId="168" fontId="4" fillId="15" borderId="0" xfId="3" applyNumberFormat="1" applyFill="1" applyBorder="1" applyAlignment="1">
      <alignment horizontal="right"/>
    </xf>
    <xf numFmtId="173" fontId="4" fillId="15" borderId="44" xfId="5" applyNumberFormat="1" applyFont="1" applyFill="1" applyBorder="1" applyAlignment="1">
      <alignment horizontal="right"/>
    </xf>
    <xf numFmtId="10" fontId="4" fillId="15" borderId="44" xfId="5" applyNumberFormat="1" applyFont="1" applyFill="1" applyBorder="1" applyAlignment="1">
      <alignment horizontal="right"/>
    </xf>
    <xf numFmtId="168" fontId="4" fillId="15" borderId="26" xfId="3" applyNumberFormat="1" applyFill="1" applyBorder="1" applyAlignment="1">
      <alignment horizontal="right"/>
    </xf>
    <xf numFmtId="168" fontId="4" fillId="15" borderId="42" xfId="3" applyNumberFormat="1" applyFill="1" applyBorder="1" applyAlignment="1">
      <alignment horizontal="right"/>
    </xf>
    <xf numFmtId="0" fontId="3" fillId="18" borderId="2" xfId="0" applyFont="1" applyFill="1" applyBorder="1"/>
    <xf numFmtId="0" fontId="3" fillId="18" borderId="28" xfId="0" applyFont="1" applyFill="1" applyBorder="1"/>
    <xf numFmtId="0" fontId="3" fillId="18" borderId="4" xfId="0" applyFont="1" applyFill="1" applyBorder="1"/>
    <xf numFmtId="0" fontId="3" fillId="18" borderId="27" xfId="0" applyFont="1" applyFill="1" applyBorder="1"/>
    <xf numFmtId="0" fontId="0" fillId="19" borderId="1" xfId="0" applyFill="1" applyBorder="1"/>
    <xf numFmtId="0" fontId="0" fillId="19" borderId="25" xfId="0" applyFill="1" applyBorder="1"/>
    <xf numFmtId="0" fontId="0" fillId="19" borderId="30" xfId="0" applyFill="1" applyBorder="1"/>
    <xf numFmtId="0" fontId="0" fillId="19" borderId="57" xfId="0" applyFill="1" applyBorder="1"/>
    <xf numFmtId="0" fontId="12" fillId="19" borderId="60" xfId="0" applyFont="1" applyFill="1" applyBorder="1"/>
    <xf numFmtId="0" fontId="0" fillId="19" borderId="66" xfId="0" applyFill="1" applyBorder="1"/>
    <xf numFmtId="0" fontId="0" fillId="19" borderId="67" xfId="0" applyFill="1" applyBorder="1"/>
    <xf numFmtId="0" fontId="0" fillId="19" borderId="67" xfId="0" applyFill="1" applyBorder="1" applyAlignment="1">
      <alignment wrapText="1"/>
    </xf>
    <xf numFmtId="0" fontId="0" fillId="19" borderId="68" xfId="0" applyFill="1" applyBorder="1"/>
    <xf numFmtId="0" fontId="0" fillId="19" borderId="43" xfId="0" applyFill="1" applyBorder="1"/>
    <xf numFmtId="0" fontId="0" fillId="19" borderId="45" xfId="0" applyFill="1" applyBorder="1"/>
    <xf numFmtId="0" fontId="0" fillId="19" borderId="57" xfId="0" applyFill="1" applyBorder="1" applyAlignment="1">
      <alignment wrapText="1"/>
    </xf>
    <xf numFmtId="0" fontId="3" fillId="19" borderId="13" xfId="0" applyFont="1" applyFill="1" applyBorder="1"/>
    <xf numFmtId="0" fontId="3" fillId="19" borderId="3" xfId="0" applyFont="1" applyFill="1" applyBorder="1"/>
    <xf numFmtId="0" fontId="3" fillId="19" borderId="15" xfId="0" applyFont="1" applyFill="1" applyBorder="1"/>
    <xf numFmtId="0" fontId="3" fillId="19" borderId="12" xfId="0" applyFont="1" applyFill="1" applyBorder="1"/>
    <xf numFmtId="0" fontId="3" fillId="19" borderId="18" xfId="0" applyFont="1" applyFill="1" applyBorder="1"/>
    <xf numFmtId="0" fontId="3" fillId="19" borderId="33" xfId="0" applyFont="1" applyFill="1" applyBorder="1"/>
    <xf numFmtId="0" fontId="3" fillId="19" borderId="69" xfId="0" applyFont="1" applyFill="1" applyBorder="1"/>
    <xf numFmtId="166" fontId="7" fillId="15" borderId="70" xfId="2" applyNumberFormat="1" applyFont="1" applyFill="1" applyBorder="1"/>
    <xf numFmtId="170" fontId="4" fillId="15" borderId="70" xfId="4" applyNumberFormat="1" applyFill="1" applyBorder="1"/>
    <xf numFmtId="166" fontId="4" fillId="15" borderId="44" xfId="2" applyNumberFormat="1" applyFill="1" applyBorder="1"/>
    <xf numFmtId="0" fontId="3" fillId="19" borderId="71" xfId="0" applyFont="1" applyFill="1" applyBorder="1"/>
    <xf numFmtId="170" fontId="4" fillId="15" borderId="72" xfId="4" applyNumberFormat="1" applyFill="1" applyBorder="1"/>
    <xf numFmtId="4" fontId="5" fillId="0" borderId="0" xfId="0" applyNumberFormat="1" applyFont="1" applyAlignment="1">
      <alignment vertical="center"/>
    </xf>
    <xf numFmtId="4" fontId="0" fillId="0" borderId="0" xfId="0" applyNumberFormat="1"/>
    <xf numFmtId="4" fontId="0" fillId="16" borderId="0" xfId="0" applyNumberFormat="1" applyFill="1"/>
    <xf numFmtId="4" fontId="3" fillId="0" borderId="63" xfId="0" applyNumberFormat="1" applyFont="1" applyBorder="1"/>
    <xf numFmtId="4" fontId="0" fillId="0" borderId="62" xfId="0" applyNumberFormat="1" applyBorder="1"/>
    <xf numFmtId="4" fontId="0" fillId="15" borderId="0" xfId="0" applyNumberFormat="1" applyFill="1"/>
    <xf numFmtId="4" fontId="3" fillId="0" borderId="0" xfId="0" applyNumberFormat="1" applyFont="1" applyBorder="1"/>
    <xf numFmtId="4" fontId="4" fillId="14" borderId="0" xfId="2" applyNumberFormat="1" applyFill="1" applyBorder="1"/>
    <xf numFmtId="168" fontId="4" fillId="15" borderId="44" xfId="3" applyNumberFormat="1" applyFill="1" applyBorder="1" applyAlignment="1">
      <alignment horizontal="right"/>
    </xf>
    <xf numFmtId="168" fontId="4" fillId="15" borderId="46" xfId="3" applyNumberFormat="1" applyFill="1" applyBorder="1" applyAlignment="1">
      <alignment horizontal="right"/>
    </xf>
    <xf numFmtId="0" fontId="2" fillId="2" borderId="41" xfId="1" applyBorder="1" applyAlignment="1">
      <alignment horizontal="left" vertical="center" wrapText="1"/>
    </xf>
    <xf numFmtId="168" fontId="4" fillId="15" borderId="50" xfId="3" applyNumberFormat="1" applyFill="1" applyBorder="1" applyAlignment="1">
      <alignment horizontal="right"/>
    </xf>
    <xf numFmtId="0" fontId="2" fillId="2" borderId="73" xfId="1" applyBorder="1" applyAlignment="1">
      <alignment horizontal="left" vertical="center" wrapText="1"/>
    </xf>
    <xf numFmtId="0" fontId="2" fillId="2" borderId="74" xfId="1" applyBorder="1" applyAlignment="1">
      <alignment horizontal="left" vertical="center" wrapText="1"/>
    </xf>
    <xf numFmtId="168" fontId="4" fillId="15" borderId="39" xfId="3" applyNumberFormat="1" applyFill="1" applyBorder="1" applyAlignment="1">
      <alignment horizontal="right"/>
    </xf>
    <xf numFmtId="4" fontId="3" fillId="0" borderId="75" xfId="0" applyNumberFormat="1" applyFont="1" applyBorder="1"/>
    <xf numFmtId="4" fontId="0" fillId="0" borderId="76" xfId="0" applyNumberFormat="1" applyBorder="1"/>
    <xf numFmtId="4" fontId="3" fillId="0" borderId="77" xfId="0" applyNumberFormat="1" applyFont="1" applyBorder="1"/>
    <xf numFmtId="4" fontId="0" fillId="0" borderId="78" xfId="0" applyNumberFormat="1" applyBorder="1"/>
    <xf numFmtId="168" fontId="4" fillId="15" borderId="53" xfId="3" applyNumberFormat="1" applyFill="1" applyBorder="1" applyAlignment="1">
      <alignment horizontal="right"/>
    </xf>
    <xf numFmtId="0" fontId="21" fillId="0" borderId="0" xfId="0" applyFont="1"/>
    <xf numFmtId="0" fontId="2" fillId="2" borderId="64" xfId="1" applyBorder="1" applyAlignment="1">
      <alignment horizontal="center" vertical="center" wrapText="1"/>
    </xf>
    <xf numFmtId="168" fontId="4" fillId="15" borderId="65" xfId="3" applyNumberFormat="1" applyFill="1" applyBorder="1" applyAlignment="1">
      <alignment horizontal="right"/>
    </xf>
    <xf numFmtId="2" fontId="0" fillId="7" borderId="79" xfId="0" applyNumberFormat="1" applyFill="1" applyBorder="1"/>
    <xf numFmtId="2" fontId="0" fillId="0" borderId="79" xfId="0" applyNumberFormat="1" applyBorder="1"/>
    <xf numFmtId="2" fontId="0" fillId="11" borderId="79" xfId="0" applyNumberFormat="1" applyFill="1" applyBorder="1"/>
    <xf numFmtId="2" fontId="0" fillId="8" borderId="79" xfId="0" applyNumberFormat="1" applyFill="1" applyBorder="1"/>
    <xf numFmtId="2" fontId="0" fillId="10" borderId="79" xfId="0" applyNumberFormat="1" applyFill="1" applyBorder="1"/>
    <xf numFmtId="2" fontId="0" fillId="9" borderId="79" xfId="0" applyNumberFormat="1" applyFill="1" applyBorder="1"/>
    <xf numFmtId="168" fontId="4" fillId="15" borderId="80" xfId="3" applyNumberFormat="1" applyFill="1" applyBorder="1" applyAlignment="1">
      <alignment horizontal="right"/>
    </xf>
    <xf numFmtId="0" fontId="0" fillId="0" borderId="81" xfId="0" applyBorder="1"/>
    <xf numFmtId="168" fontId="4" fillId="15" borderId="31" xfId="3" applyNumberFormat="1" applyFill="1" applyBorder="1" applyAlignment="1">
      <alignment horizontal="right"/>
    </xf>
    <xf numFmtId="2" fontId="0" fillId="0" borderId="81" xfId="0" applyNumberFormat="1" applyBorder="1"/>
    <xf numFmtId="2" fontId="0" fillId="0" borderId="82" xfId="0" applyNumberFormat="1" applyBorder="1"/>
    <xf numFmtId="0" fontId="0" fillId="5" borderId="20" xfId="0" applyFill="1" applyBorder="1" applyAlignment="1">
      <alignment wrapText="1"/>
    </xf>
    <xf numFmtId="0" fontId="2" fillId="2" borderId="83" xfId="1" applyBorder="1" applyAlignment="1">
      <alignment horizontal="center" vertical="center" wrapText="1"/>
    </xf>
    <xf numFmtId="0" fontId="2" fillId="2" borderId="73" xfId="1" applyBorder="1" applyAlignment="1">
      <alignment horizontal="center" vertical="center" wrapText="1"/>
    </xf>
    <xf numFmtId="0" fontId="8" fillId="11" borderId="84" xfId="0" applyFont="1" applyFill="1" applyBorder="1"/>
    <xf numFmtId="0" fontId="8" fillId="8" borderId="84" xfId="0" applyFont="1" applyFill="1" applyBorder="1"/>
    <xf numFmtId="0" fontId="8" fillId="10" borderId="84" xfId="0" applyFont="1" applyFill="1" applyBorder="1"/>
    <xf numFmtId="0" fontId="8" fillId="12" borderId="85" xfId="0" applyFont="1" applyFill="1" applyBorder="1"/>
    <xf numFmtId="0" fontId="8" fillId="12" borderId="81" xfId="0" applyFont="1" applyFill="1" applyBorder="1" applyAlignment="1">
      <alignment horizontal="center"/>
    </xf>
    <xf numFmtId="0" fontId="0" fillId="5" borderId="86" xfId="0" applyFill="1" applyBorder="1" applyAlignment="1">
      <alignment wrapText="1"/>
    </xf>
    <xf numFmtId="2" fontId="0" fillId="12" borderId="81" xfId="0" applyNumberFormat="1" applyFill="1" applyBorder="1"/>
    <xf numFmtId="2" fontId="0" fillId="12" borderId="37" xfId="0" applyNumberFormat="1" applyFill="1" applyBorder="1"/>
    <xf numFmtId="2" fontId="0" fillId="12" borderId="82" xfId="0" applyNumberFormat="1" applyFill="1" applyBorder="1"/>
    <xf numFmtId="2" fontId="0" fillId="15" borderId="32" xfId="0" applyNumberFormat="1" applyFill="1" applyBorder="1" applyAlignment="1">
      <alignment wrapText="1"/>
    </xf>
    <xf numFmtId="2" fontId="0" fillId="15" borderId="81" xfId="0" applyNumberFormat="1" applyFill="1" applyBorder="1" applyAlignment="1">
      <alignment wrapText="1"/>
    </xf>
    <xf numFmtId="2" fontId="0" fillId="15" borderId="81" xfId="0" applyNumberFormat="1" applyFill="1" applyBorder="1"/>
    <xf numFmtId="2" fontId="9" fillId="7" borderId="32" xfId="0" applyNumberFormat="1" applyFont="1" applyFill="1" applyBorder="1" applyAlignment="1">
      <alignment wrapText="1"/>
    </xf>
    <xf numFmtId="2" fontId="9" fillId="7" borderId="81" xfId="0" applyNumberFormat="1" applyFont="1" applyFill="1" applyBorder="1" applyAlignment="1">
      <alignment wrapText="1"/>
    </xf>
    <xf numFmtId="2" fontId="8" fillId="12" borderId="32" xfId="0" applyNumberFormat="1" applyFont="1" applyFill="1" applyBorder="1" applyAlignment="1">
      <alignment wrapText="1"/>
    </xf>
    <xf numFmtId="2" fontId="8" fillId="12" borderId="81" xfId="0" applyNumberFormat="1" applyFont="1" applyFill="1" applyBorder="1" applyAlignment="1">
      <alignment wrapText="1"/>
    </xf>
    <xf numFmtId="2" fontId="8" fillId="12" borderId="51" xfId="0" applyNumberFormat="1" applyFont="1" applyFill="1" applyBorder="1" applyAlignment="1">
      <alignment wrapText="1"/>
    </xf>
    <xf numFmtId="0" fontId="9" fillId="7" borderId="84" xfId="0" applyFont="1" applyFill="1" applyBorder="1"/>
    <xf numFmtId="0" fontId="9" fillId="7" borderId="32" xfId="0" applyFont="1" applyFill="1" applyBorder="1" applyAlignment="1">
      <alignment horizontal="center"/>
    </xf>
    <xf numFmtId="0" fontId="0" fillId="0" borderId="20" xfId="0" applyBorder="1"/>
    <xf numFmtId="168" fontId="4" fillId="15" borderId="20" xfId="3" applyNumberFormat="1" applyFill="1" applyBorder="1" applyAlignment="1">
      <alignment horizontal="right"/>
    </xf>
    <xf numFmtId="168" fontId="4" fillId="15" borderId="5" xfId="3" applyNumberFormat="1" applyFill="1" applyBorder="1" applyAlignment="1">
      <alignment horizontal="right"/>
    </xf>
    <xf numFmtId="0" fontId="2" fillId="2" borderId="25" xfId="1" applyBorder="1" applyAlignment="1">
      <alignment horizontal="left" vertical="center" wrapText="1"/>
    </xf>
    <xf numFmtId="0" fontId="2" fillId="2" borderId="30" xfId="1" applyBorder="1" applyAlignment="1">
      <alignment horizontal="left" vertical="center" wrapText="1"/>
    </xf>
    <xf numFmtId="0" fontId="0" fillId="0" borderId="86" xfId="0" applyBorder="1"/>
    <xf numFmtId="168" fontId="4" fillId="15" borderId="86" xfId="3" applyNumberFormat="1" applyFill="1" applyBorder="1" applyAlignment="1">
      <alignment horizontal="right"/>
    </xf>
    <xf numFmtId="168" fontId="4" fillId="15" borderId="54" xfId="3" applyNumberFormat="1" applyFill="1" applyBorder="1" applyAlignment="1">
      <alignment horizontal="right"/>
    </xf>
    <xf numFmtId="0" fontId="9" fillId="7" borderId="52" xfId="0" applyFont="1" applyFill="1" applyBorder="1" applyAlignment="1">
      <alignment horizontal="center"/>
    </xf>
    <xf numFmtId="0" fontId="8" fillId="11" borderId="52" xfId="0" applyFont="1" applyFill="1" applyBorder="1" applyAlignment="1">
      <alignment horizontal="center"/>
    </xf>
    <xf numFmtId="0" fontId="8" fillId="8" borderId="52" xfId="0" applyFont="1" applyFill="1" applyBorder="1" applyAlignment="1">
      <alignment horizontal="center"/>
    </xf>
    <xf numFmtId="0" fontId="8" fillId="10" borderId="52" xfId="0" applyFont="1" applyFill="1" applyBorder="1" applyAlignment="1">
      <alignment horizontal="center"/>
    </xf>
    <xf numFmtId="0" fontId="8" fillId="12" borderId="37" xfId="0" applyFont="1" applyFill="1" applyBorder="1" applyAlignment="1">
      <alignment horizontal="center"/>
    </xf>
    <xf numFmtId="2" fontId="0" fillId="15" borderId="51" xfId="0" applyNumberFormat="1" applyFill="1" applyBorder="1"/>
    <xf numFmtId="0" fontId="9" fillId="5" borderId="0" xfId="0" applyFont="1" applyFill="1" applyBorder="1" applyAlignment="1">
      <alignment horizontal="center"/>
    </xf>
    <xf numFmtId="0" fontId="8" fillId="5" borderId="0" xfId="0" applyFont="1" applyFill="1" applyBorder="1" applyAlignment="1">
      <alignment horizontal="center"/>
    </xf>
    <xf numFmtId="0" fontId="2" fillId="5" borderId="20" xfId="1" applyFill="1" applyBorder="1" applyAlignment="1">
      <alignment horizontal="center" vertical="center" wrapText="1"/>
    </xf>
    <xf numFmtId="0" fontId="8" fillId="5" borderId="88" xfId="0" applyFont="1" applyFill="1" applyBorder="1"/>
    <xf numFmtId="0" fontId="8" fillId="5" borderId="89" xfId="0" applyFont="1" applyFill="1" applyBorder="1"/>
    <xf numFmtId="0" fontId="8" fillId="5" borderId="86" xfId="0" applyFont="1" applyFill="1" applyBorder="1" applyAlignment="1">
      <alignment horizontal="center"/>
    </xf>
    <xf numFmtId="2" fontId="8" fillId="12" borderId="87" xfId="0" applyNumberFormat="1" applyFont="1" applyFill="1" applyBorder="1" applyAlignment="1">
      <alignment wrapText="1"/>
    </xf>
    <xf numFmtId="168" fontId="4" fillId="15" borderId="11" xfId="3" applyNumberFormat="1" applyFill="1" applyBorder="1" applyAlignment="1">
      <alignment horizontal="right"/>
    </xf>
    <xf numFmtId="2" fontId="0" fillId="15" borderId="0" xfId="0" applyNumberFormat="1" applyFill="1" applyBorder="1" applyAlignment="1">
      <alignment wrapText="1"/>
    </xf>
    <xf numFmtId="3" fontId="0" fillId="15" borderId="0" xfId="0" applyNumberFormat="1" applyFill="1" applyBorder="1"/>
    <xf numFmtId="4" fontId="0" fillId="17" borderId="0" xfId="0" applyNumberFormat="1" applyFill="1" applyBorder="1"/>
    <xf numFmtId="4" fontId="0" fillId="17" borderId="86" xfId="0" applyNumberFormat="1" applyFill="1" applyBorder="1"/>
    <xf numFmtId="0" fontId="0" fillId="0" borderId="25" xfId="0" applyBorder="1"/>
    <xf numFmtId="0" fontId="0" fillId="0" borderId="26" xfId="0" applyBorder="1"/>
    <xf numFmtId="4" fontId="0" fillId="17" borderId="25" xfId="0" applyNumberFormat="1" applyFill="1" applyBorder="1"/>
    <xf numFmtId="4" fontId="0" fillId="17" borderId="30" xfId="0" applyNumberFormat="1" applyFill="1" applyBorder="1"/>
    <xf numFmtId="0" fontId="0" fillId="0" borderId="5" xfId="0" applyBorder="1"/>
    <xf numFmtId="0" fontId="2" fillId="2" borderId="0" xfId="1" applyBorder="1" applyAlignment="1">
      <alignment horizontal="center" vertical="center" wrapText="1"/>
    </xf>
    <xf numFmtId="0" fontId="9" fillId="7" borderId="0" xfId="0" applyFont="1" applyFill="1" applyBorder="1" applyAlignment="1">
      <alignment horizontal="center"/>
    </xf>
    <xf numFmtId="2" fontId="9" fillId="7" borderId="0" xfId="0" applyNumberFormat="1" applyFont="1" applyFill="1" applyBorder="1" applyAlignment="1">
      <alignment wrapText="1"/>
    </xf>
    <xf numFmtId="2" fontId="8" fillId="12" borderId="0" xfId="0" applyNumberFormat="1" applyFont="1" applyFill="1" applyBorder="1" applyAlignment="1">
      <alignment wrapText="1"/>
    </xf>
    <xf numFmtId="0" fontId="8" fillId="11" borderId="0" xfId="0" applyFont="1" applyFill="1" applyBorder="1" applyAlignment="1">
      <alignment horizontal="center"/>
    </xf>
    <xf numFmtId="0" fontId="8" fillId="8" borderId="0" xfId="0" applyFont="1" applyFill="1" applyBorder="1" applyAlignment="1">
      <alignment horizontal="center"/>
    </xf>
    <xf numFmtId="0" fontId="8" fillId="10" borderId="0" xfId="0" applyFont="1" applyFill="1" applyBorder="1" applyAlignment="1">
      <alignment horizontal="center"/>
    </xf>
    <xf numFmtId="0" fontId="8" fillId="5" borderId="0" xfId="0" applyFont="1" applyFill="1" applyBorder="1" applyAlignment="1">
      <alignment horizontal="left"/>
    </xf>
    <xf numFmtId="4" fontId="0" fillId="5" borderId="0" xfId="0" applyNumberFormat="1" applyFill="1" applyBorder="1"/>
    <xf numFmtId="0" fontId="0" fillId="5" borderId="25" xfId="0" applyFill="1" applyBorder="1"/>
    <xf numFmtId="0" fontId="0" fillId="5" borderId="26" xfId="0" applyFill="1" applyBorder="1"/>
    <xf numFmtId="3" fontId="0" fillId="0" borderId="0" xfId="0" applyNumberFormat="1"/>
    <xf numFmtId="4" fontId="0" fillId="0" borderId="25" xfId="0" applyNumberFormat="1" applyBorder="1"/>
    <xf numFmtId="4" fontId="0" fillId="0" borderId="0" xfId="0" applyNumberFormat="1" applyBorder="1"/>
    <xf numFmtId="4" fontId="4" fillId="4" borderId="90" xfId="3" applyNumberFormat="1" applyBorder="1" applyAlignment="1">
      <alignment horizontal="right"/>
    </xf>
    <xf numFmtId="4" fontId="0" fillId="0" borderId="30" xfId="0" applyNumberFormat="1" applyBorder="1"/>
    <xf numFmtId="4" fontId="4" fillId="4" borderId="14" xfId="3" applyNumberFormat="1" applyBorder="1" applyAlignment="1">
      <alignment horizontal="right"/>
    </xf>
    <xf numFmtId="4" fontId="0" fillId="0" borderId="10" xfId="0" applyNumberFormat="1" applyBorder="1"/>
    <xf numFmtId="4" fontId="4" fillId="14" borderId="11" xfId="2" applyNumberFormat="1" applyFill="1" applyBorder="1"/>
    <xf numFmtId="0" fontId="0" fillId="16" borderId="1" xfId="0" applyFill="1" applyBorder="1"/>
    <xf numFmtId="0" fontId="8" fillId="5" borderId="25" xfId="0" applyFont="1" applyFill="1" applyBorder="1" applyAlignment="1">
      <alignment horizontal="left"/>
    </xf>
    <xf numFmtId="0" fontId="9" fillId="7" borderId="25" xfId="0" applyFont="1" applyFill="1" applyBorder="1"/>
    <xf numFmtId="0" fontId="8" fillId="11" borderId="25" xfId="0" applyFont="1" applyFill="1" applyBorder="1"/>
    <xf numFmtId="0" fontId="8" fillId="8" borderId="25" xfId="0" applyFont="1" applyFill="1" applyBorder="1"/>
    <xf numFmtId="0" fontId="8" fillId="10" borderId="25" xfId="0" applyFont="1" applyFill="1" applyBorder="1"/>
    <xf numFmtId="0" fontId="8" fillId="12" borderId="30" xfId="0" applyFont="1" applyFill="1" applyBorder="1"/>
    <xf numFmtId="0" fontId="8" fillId="12" borderId="86" xfId="0" applyFont="1" applyFill="1" applyBorder="1" applyAlignment="1">
      <alignment horizontal="center"/>
    </xf>
    <xf numFmtId="2" fontId="8" fillId="12" borderId="86" xfId="0" applyNumberFormat="1" applyFont="1" applyFill="1" applyBorder="1" applyAlignment="1">
      <alignment wrapText="1"/>
    </xf>
    <xf numFmtId="2" fontId="9" fillId="7" borderId="86" xfId="0" applyNumberFormat="1" applyFont="1" applyFill="1" applyBorder="1" applyAlignment="1">
      <alignment wrapText="1"/>
    </xf>
    <xf numFmtId="0" fontId="0" fillId="0" borderId="31" xfId="0" applyBorder="1"/>
    <xf numFmtId="2" fontId="8" fillId="12" borderId="26" xfId="0" applyNumberFormat="1" applyFont="1" applyFill="1" applyBorder="1" applyAlignment="1">
      <alignment wrapText="1"/>
    </xf>
    <xf numFmtId="2" fontId="9" fillId="7" borderId="79" xfId="0" applyNumberFormat="1" applyFont="1" applyFill="1" applyBorder="1" applyAlignment="1">
      <alignment wrapText="1"/>
    </xf>
    <xf numFmtId="2" fontId="9" fillId="7" borderId="82" xfId="0" applyNumberFormat="1" applyFont="1" applyFill="1" applyBorder="1" applyAlignment="1">
      <alignment wrapText="1"/>
    </xf>
    <xf numFmtId="4" fontId="3" fillId="0" borderId="91" xfId="0" applyNumberFormat="1" applyFont="1" applyBorder="1"/>
    <xf numFmtId="4" fontId="4" fillId="14" borderId="44" xfId="2" applyNumberFormat="1" applyFill="1" applyBorder="1"/>
    <xf numFmtId="10" fontId="4" fillId="14" borderId="44" xfId="5" applyNumberFormat="1" applyFont="1" applyFill="1" applyBorder="1"/>
    <xf numFmtId="9" fontId="4" fillId="14" borderId="44" xfId="5" applyFont="1" applyFill="1" applyBorder="1"/>
    <xf numFmtId="4" fontId="3" fillId="0" borderId="92" xfId="0" applyNumberFormat="1" applyFont="1" applyBorder="1"/>
    <xf numFmtId="9" fontId="4" fillId="14" borderId="46" xfId="5" applyFont="1" applyFill="1" applyBorder="1"/>
    <xf numFmtId="4" fontId="4" fillId="14" borderId="90" xfId="3" applyNumberFormat="1" applyFill="1" applyBorder="1" applyAlignment="1">
      <alignment horizontal="right"/>
    </xf>
    <xf numFmtId="167" fontId="4" fillId="15" borderId="44" xfId="3" applyNumberFormat="1" applyFill="1" applyBorder="1" applyAlignment="1">
      <alignment horizontal="right"/>
    </xf>
    <xf numFmtId="10" fontId="4" fillId="15" borderId="46" xfId="5" applyNumberFormat="1" applyFont="1" applyFill="1" applyBorder="1" applyAlignment="1">
      <alignment horizontal="right"/>
    </xf>
    <xf numFmtId="0" fontId="0" fillId="19" borderId="93" xfId="0" applyFill="1" applyBorder="1" applyAlignment="1">
      <alignment wrapText="1"/>
    </xf>
    <xf numFmtId="173" fontId="4" fillId="15" borderId="51" xfId="5" applyNumberFormat="1" applyFont="1" applyFill="1" applyBorder="1" applyAlignment="1">
      <alignment horizontal="right"/>
    </xf>
    <xf numFmtId="4" fontId="4" fillId="15" borderId="51" xfId="5" applyNumberFormat="1" applyFont="1" applyFill="1" applyBorder="1" applyAlignment="1">
      <alignment horizontal="right"/>
    </xf>
    <xf numFmtId="4" fontId="3" fillId="0" borderId="94" xfId="0" applyNumberFormat="1" applyFont="1" applyBorder="1"/>
    <xf numFmtId="4" fontId="4" fillId="14" borderId="6" xfId="3" applyNumberFormat="1" applyFill="1" applyBorder="1" applyAlignment="1">
      <alignment horizontal="right"/>
    </xf>
    <xf numFmtId="4" fontId="4" fillId="14" borderId="34" xfId="3" applyNumberFormat="1" applyFill="1" applyBorder="1" applyAlignment="1">
      <alignment horizontal="right"/>
    </xf>
    <xf numFmtId="4" fontId="4" fillId="14" borderId="38" xfId="3" applyNumberFormat="1" applyFill="1" applyBorder="1" applyAlignment="1">
      <alignment horizontal="right"/>
    </xf>
    <xf numFmtId="4" fontId="4" fillId="14" borderId="95" xfId="3" applyNumberFormat="1" applyFill="1" applyBorder="1" applyAlignment="1">
      <alignment horizontal="right"/>
    </xf>
    <xf numFmtId="4" fontId="4" fillId="14" borderId="40" xfId="3" applyNumberFormat="1" applyFill="1" applyBorder="1" applyAlignment="1">
      <alignment horizontal="right"/>
    </xf>
    <xf numFmtId="9" fontId="4" fillId="14" borderId="38" xfId="5" applyFont="1" applyFill="1" applyBorder="1" applyAlignment="1">
      <alignment horizontal="right"/>
    </xf>
    <xf numFmtId="10" fontId="4" fillId="14" borderId="38" xfId="5" applyNumberFormat="1" applyFont="1" applyFill="1" applyBorder="1" applyAlignment="1">
      <alignment horizontal="right"/>
    </xf>
    <xf numFmtId="4" fontId="0" fillId="5" borderId="42" xfId="0" applyNumberFormat="1" applyFill="1" applyBorder="1"/>
    <xf numFmtId="9" fontId="4" fillId="14" borderId="40" xfId="5" applyFont="1" applyFill="1" applyBorder="1" applyAlignment="1">
      <alignment horizontal="right"/>
    </xf>
    <xf numFmtId="0" fontId="2" fillId="2" borderId="52" xfId="1" applyBorder="1" applyAlignment="1">
      <alignment horizontal="center" vertical="center" wrapText="1"/>
    </xf>
    <xf numFmtId="168" fontId="4" fillId="15" borderId="36" xfId="3" applyNumberFormat="1" applyFill="1" applyBorder="1" applyAlignment="1">
      <alignment horizontal="right"/>
    </xf>
    <xf numFmtId="168" fontId="4" fillId="20" borderId="90" xfId="3" applyNumberFormat="1" applyFill="1" applyBorder="1" applyAlignment="1">
      <alignment horizontal="right"/>
    </xf>
    <xf numFmtId="168" fontId="4" fillId="20" borderId="14" xfId="3" applyNumberFormat="1" applyFill="1" applyBorder="1" applyAlignment="1">
      <alignment horizontal="right"/>
    </xf>
    <xf numFmtId="0" fontId="2" fillId="2" borderId="10" xfId="1" applyBorder="1" applyAlignment="1">
      <alignment horizontal="center" vertical="center" wrapText="1"/>
    </xf>
    <xf numFmtId="0" fontId="2" fillId="2" borderId="97" xfId="1" applyBorder="1" applyAlignment="1">
      <alignment horizontal="center" vertical="center" wrapText="1"/>
    </xf>
    <xf numFmtId="0" fontId="2" fillId="2" borderId="11" xfId="1" applyBorder="1" applyAlignment="1">
      <alignment horizontal="center" vertical="center" wrapText="1"/>
    </xf>
    <xf numFmtId="2" fontId="0" fillId="15" borderId="25" xfId="0" applyNumberFormat="1" applyFill="1" applyBorder="1" applyAlignment="1">
      <alignment horizontal="center"/>
    </xf>
    <xf numFmtId="167" fontId="4" fillId="4" borderId="17" xfId="3" applyBorder="1" applyAlignment="1">
      <alignment horizontal="center"/>
    </xf>
    <xf numFmtId="2" fontId="0" fillId="15" borderId="30" xfId="0" applyNumberFormat="1" applyFill="1" applyBorder="1" applyAlignment="1">
      <alignment horizontal="center"/>
    </xf>
    <xf numFmtId="168" fontId="4" fillId="4" borderId="98" xfId="3" applyNumberFormat="1" applyBorder="1" applyAlignment="1">
      <alignment horizontal="right"/>
    </xf>
    <xf numFmtId="167" fontId="4" fillId="4" borderId="31" xfId="3" applyBorder="1" applyAlignment="1">
      <alignment horizontal="center"/>
    </xf>
    <xf numFmtId="168" fontId="4" fillId="17" borderId="0" xfId="3" applyNumberFormat="1" applyFill="1" applyBorder="1" applyAlignment="1">
      <alignment horizontal="right"/>
    </xf>
    <xf numFmtId="168" fontId="4" fillId="17" borderId="1" xfId="3" applyNumberFormat="1" applyFill="1" applyBorder="1" applyAlignment="1">
      <alignment horizontal="right"/>
    </xf>
    <xf numFmtId="4" fontId="0" fillId="17" borderId="20" xfId="0" applyNumberFormat="1" applyFill="1" applyBorder="1"/>
    <xf numFmtId="168" fontId="4" fillId="17" borderId="20" xfId="3" applyNumberFormat="1" applyFill="1" applyBorder="1" applyAlignment="1">
      <alignment horizontal="right"/>
    </xf>
    <xf numFmtId="2" fontId="9" fillId="7" borderId="20" xfId="0" applyNumberFormat="1" applyFont="1" applyFill="1" applyBorder="1" applyAlignment="1">
      <alignment wrapText="1"/>
    </xf>
    <xf numFmtId="2" fontId="8" fillId="12" borderId="20" xfId="0" applyNumberFormat="1" applyFont="1" applyFill="1" applyBorder="1" applyAlignment="1">
      <alignment wrapText="1"/>
    </xf>
    <xf numFmtId="4" fontId="0" fillId="17" borderId="5" xfId="0" applyNumberFormat="1" applyFill="1" applyBorder="1"/>
    <xf numFmtId="168" fontId="4" fillId="17" borderId="25" xfId="3" applyNumberFormat="1" applyFill="1" applyBorder="1" applyAlignment="1">
      <alignment horizontal="right"/>
    </xf>
    <xf numFmtId="168" fontId="4" fillId="17" borderId="26" xfId="3" applyNumberFormat="1" applyFill="1" applyBorder="1" applyAlignment="1">
      <alignment horizontal="right"/>
    </xf>
    <xf numFmtId="168" fontId="4" fillId="17" borderId="86" xfId="3" applyNumberFormat="1" applyFill="1" applyBorder="1" applyAlignment="1">
      <alignment horizontal="right"/>
    </xf>
    <xf numFmtId="4" fontId="0" fillId="17" borderId="31" xfId="0" applyNumberFormat="1" applyFill="1" applyBorder="1"/>
    <xf numFmtId="0" fontId="0" fillId="16" borderId="5" xfId="0" applyFill="1" applyBorder="1"/>
    <xf numFmtId="168" fontId="4" fillId="15" borderId="25" xfId="3" applyNumberFormat="1" applyFill="1" applyBorder="1" applyAlignment="1">
      <alignment horizontal="right"/>
    </xf>
    <xf numFmtId="2" fontId="0" fillId="15" borderId="0" xfId="0" applyNumberFormat="1" applyFill="1" applyBorder="1"/>
    <xf numFmtId="168" fontId="4" fillId="15" borderId="1" xfId="3" applyNumberFormat="1" applyFill="1" applyBorder="1" applyAlignment="1">
      <alignment horizontal="right"/>
    </xf>
    <xf numFmtId="2" fontId="0" fillId="15" borderId="20" xfId="0" applyNumberFormat="1" applyFill="1" applyBorder="1" applyAlignment="1">
      <alignment wrapText="1"/>
    </xf>
    <xf numFmtId="2" fontId="0" fillId="15" borderId="20" xfId="0" applyNumberFormat="1" applyFill="1" applyBorder="1"/>
    <xf numFmtId="2" fontId="0" fillId="15" borderId="5" xfId="0" applyNumberFormat="1" applyFill="1" applyBorder="1"/>
    <xf numFmtId="2" fontId="0" fillId="15" borderId="26" xfId="0" applyNumberFormat="1" applyFill="1" applyBorder="1"/>
    <xf numFmtId="2" fontId="0" fillId="15" borderId="25" xfId="0" applyNumberFormat="1" applyFill="1" applyBorder="1" applyAlignment="1">
      <alignment wrapText="1"/>
    </xf>
    <xf numFmtId="2" fontId="0" fillId="15" borderId="30" xfId="0" applyNumberFormat="1" applyFill="1" applyBorder="1" applyAlignment="1">
      <alignment wrapText="1"/>
    </xf>
    <xf numFmtId="2" fontId="0" fillId="15" borderId="86" xfId="0" applyNumberFormat="1" applyFill="1" applyBorder="1" applyAlignment="1">
      <alignment wrapText="1"/>
    </xf>
    <xf numFmtId="2" fontId="0" fillId="15" borderId="86" xfId="0" applyNumberFormat="1" applyFill="1" applyBorder="1"/>
    <xf numFmtId="2" fontId="0" fillId="15" borderId="31" xfId="0" applyNumberFormat="1" applyFill="1" applyBorder="1"/>
    <xf numFmtId="173" fontId="22" fillId="14" borderId="38" xfId="5" applyNumberFormat="1" applyFont="1" applyFill="1" applyBorder="1" applyAlignment="1">
      <alignment horizontal="right"/>
    </xf>
    <xf numFmtId="173" fontId="22" fillId="15" borderId="53" xfId="5" applyNumberFormat="1" applyFont="1" applyFill="1" applyBorder="1" applyAlignment="1">
      <alignment horizontal="right"/>
    </xf>
    <xf numFmtId="0" fontId="3" fillId="0" borderId="25" xfId="0" applyFont="1" applyBorder="1"/>
    <xf numFmtId="166" fontId="4" fillId="3" borderId="26" xfId="2" applyNumberFormat="1" applyBorder="1"/>
    <xf numFmtId="4" fontId="4" fillId="14" borderId="26" xfId="2" applyNumberFormat="1" applyFill="1" applyBorder="1"/>
    <xf numFmtId="4" fontId="3" fillId="0" borderId="99" xfId="0" applyNumberFormat="1" applyFont="1" applyBorder="1"/>
    <xf numFmtId="4" fontId="0" fillId="0" borderId="31" xfId="0" applyNumberFormat="1" applyBorder="1"/>
    <xf numFmtId="0" fontId="2" fillId="2" borderId="100" xfId="1" applyBorder="1" applyAlignment="1">
      <alignment horizontal="center" vertical="center" wrapText="1"/>
    </xf>
    <xf numFmtId="168" fontId="4" fillId="4" borderId="101" xfId="3" applyNumberFormat="1" applyBorder="1" applyAlignment="1"/>
    <xf numFmtId="168" fontId="4" fillId="4" borderId="102" xfId="3" applyNumberFormat="1" applyBorder="1" applyAlignment="1"/>
    <xf numFmtId="168" fontId="4" fillId="21" borderId="21" xfId="3" quotePrefix="1" applyNumberFormat="1" applyFill="1" applyBorder="1"/>
    <xf numFmtId="168" fontId="4" fillId="21" borderId="22" xfId="3" quotePrefix="1" applyNumberFormat="1" applyFill="1" applyBorder="1"/>
    <xf numFmtId="168" fontId="4" fillId="4" borderId="101" xfId="3" applyNumberFormat="1" applyBorder="1" applyAlignment="1">
      <alignment horizontal="right"/>
    </xf>
    <xf numFmtId="168" fontId="4" fillId="4" borderId="102" xfId="3" applyNumberFormat="1" applyBorder="1" applyAlignment="1">
      <alignment horizontal="right"/>
    </xf>
    <xf numFmtId="2" fontId="0" fillId="15" borderId="11" xfId="0" applyNumberFormat="1" applyFill="1" applyBorder="1"/>
    <xf numFmtId="4" fontId="20" fillId="16" borderId="1" xfId="0" applyNumberFormat="1" applyFont="1" applyFill="1" applyBorder="1" applyAlignment="1">
      <alignment horizontal="center"/>
    </xf>
    <xf numFmtId="4" fontId="20" fillId="16" borderId="5" xfId="0" applyNumberFormat="1" applyFont="1" applyFill="1" applyBorder="1" applyAlignment="1">
      <alignment horizontal="center"/>
    </xf>
    <xf numFmtId="4" fontId="2" fillId="16" borderId="1" xfId="1" applyNumberFormat="1" applyFill="1" applyBorder="1" applyAlignment="1">
      <alignment horizontal="center" vertical="center"/>
    </xf>
    <xf numFmtId="4" fontId="2" fillId="16" borderId="5" xfId="1" applyNumberFormat="1" applyFill="1" applyBorder="1" applyAlignment="1">
      <alignment horizontal="center" vertical="center"/>
    </xf>
    <xf numFmtId="4" fontId="2" fillId="16" borderId="41" xfId="1" applyNumberFormat="1" applyFill="1" applyBorder="1" applyAlignment="1">
      <alignment horizontal="center" vertical="center"/>
    </xf>
    <xf numFmtId="4" fontId="2" fillId="16" borderId="42" xfId="1" applyNumberFormat="1" applyFill="1" applyBorder="1" applyAlignment="1">
      <alignment horizontal="center" vertical="center"/>
    </xf>
    <xf numFmtId="4" fontId="20" fillId="16" borderId="41" xfId="0" applyNumberFormat="1" applyFont="1" applyFill="1" applyBorder="1" applyAlignment="1">
      <alignment horizontal="center"/>
    </xf>
    <xf numFmtId="4" fontId="20" fillId="16" borderId="42" xfId="0" applyNumberFormat="1" applyFont="1" applyFill="1" applyBorder="1" applyAlignment="1">
      <alignment horizontal="center"/>
    </xf>
    <xf numFmtId="4" fontId="20" fillId="16" borderId="96" xfId="0" applyNumberFormat="1" applyFont="1" applyFill="1" applyBorder="1" applyAlignment="1">
      <alignment horizontal="center"/>
    </xf>
    <xf numFmtId="4" fontId="20" fillId="16" borderId="39" xfId="0" applyNumberFormat="1" applyFont="1" applyFill="1" applyBorder="1" applyAlignment="1">
      <alignment horizontal="center"/>
    </xf>
    <xf numFmtId="0" fontId="8" fillId="5" borderId="25" xfId="0" applyFont="1" applyFill="1" applyBorder="1" applyAlignment="1">
      <alignment horizontal="left"/>
    </xf>
    <xf numFmtId="0" fontId="8" fillId="5" borderId="26" xfId="0" applyFont="1" applyFill="1" applyBorder="1" applyAlignment="1">
      <alignment horizontal="left"/>
    </xf>
    <xf numFmtId="0" fontId="8" fillId="5" borderId="30" xfId="0" applyFont="1" applyFill="1" applyBorder="1" applyAlignment="1">
      <alignment horizontal="left"/>
    </xf>
    <xf numFmtId="0" fontId="8" fillId="5" borderId="31" xfId="0" applyFont="1" applyFill="1" applyBorder="1" applyAlignment="1">
      <alignment horizontal="left"/>
    </xf>
    <xf numFmtId="164" fontId="0" fillId="5" borderId="0" xfId="0" applyNumberFormat="1" applyFill="1"/>
    <xf numFmtId="168" fontId="0" fillId="5" borderId="0" xfId="0" applyNumberFormat="1" applyFill="1"/>
    <xf numFmtId="0" fontId="9" fillId="16" borderId="1" xfId="0" applyFont="1" applyFill="1" applyBorder="1"/>
    <xf numFmtId="0" fontId="9" fillId="16" borderId="5" xfId="0" applyFont="1" applyFill="1" applyBorder="1"/>
    <xf numFmtId="0" fontId="0" fillId="19" borderId="103" xfId="0" applyFill="1" applyBorder="1"/>
    <xf numFmtId="168" fontId="4" fillId="15" borderId="104" xfId="3" applyNumberFormat="1" applyFill="1" applyBorder="1" applyAlignment="1">
      <alignment horizontal="right"/>
    </xf>
  </cellXfs>
  <cellStyles count="6">
    <cellStyle name="Annahmen %" xfId="4" xr:uid="{00000000-0005-0000-0000-000000000000}"/>
    <cellStyle name="Annahmen Zahlen" xfId="2" xr:uid="{00000000-0005-0000-0000-000001000000}"/>
    <cellStyle name="Berech Rahmen" xfId="3" xr:uid="{00000000-0005-0000-0000-000002000000}"/>
    <cellStyle name="Prozent" xfId="5" builtinId="5"/>
    <cellStyle name="Standard" xfId="0" builtinId="0"/>
    <cellStyle name="Überschrift Fin Mod" xfId="1" xr:uid="{00000000-0005-0000-0000-000004000000}"/>
  </cellStyles>
  <dxfs count="555">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Long Call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'3'!$C$20:$C$48</c:f>
              <c:numCache>
                <c:formatCode>_-* #,##0.00_-;[Red]\(#,##0.00\);_-* "-"_-;_-@_-</c:formatCode>
                <c:ptCount val="29"/>
                <c:pt idx="0">
                  <c:v>-7.6746297338894109</c:v>
                </c:pt>
                <c:pt idx="1">
                  <c:v>-7.6746297338894109</c:v>
                </c:pt>
                <c:pt idx="2">
                  <c:v>-7.6746297338894109</c:v>
                </c:pt>
                <c:pt idx="3">
                  <c:v>-7.6746297338894109</c:v>
                </c:pt>
                <c:pt idx="4">
                  <c:v>-7.6746297338894109</c:v>
                </c:pt>
                <c:pt idx="5">
                  <c:v>-7.6746297338894109</c:v>
                </c:pt>
                <c:pt idx="6">
                  <c:v>-7.6746297338894109</c:v>
                </c:pt>
                <c:pt idx="7">
                  <c:v>-7.6746297338894109</c:v>
                </c:pt>
                <c:pt idx="8">
                  <c:v>-7.6746297338894109</c:v>
                </c:pt>
                <c:pt idx="9">
                  <c:v>-7.6746297338894109</c:v>
                </c:pt>
                <c:pt idx="10">
                  <c:v>-7.6746297338894109</c:v>
                </c:pt>
                <c:pt idx="11">
                  <c:v>-7.6746297338894109</c:v>
                </c:pt>
                <c:pt idx="12">
                  <c:v>-7.6746297338894109</c:v>
                </c:pt>
                <c:pt idx="13">
                  <c:v>-7.6746297338894109</c:v>
                </c:pt>
                <c:pt idx="14">
                  <c:v>-5.6746297338894109</c:v>
                </c:pt>
                <c:pt idx="15">
                  <c:v>-0.67462973388941094</c:v>
                </c:pt>
                <c:pt idx="16">
                  <c:v>4.3253702661105891</c:v>
                </c:pt>
                <c:pt idx="17">
                  <c:v>9.3253702661105891</c:v>
                </c:pt>
                <c:pt idx="18">
                  <c:v>14.325370266110589</c:v>
                </c:pt>
                <c:pt idx="19">
                  <c:v>19.325370266110589</c:v>
                </c:pt>
                <c:pt idx="20">
                  <c:v>24.325370266110589</c:v>
                </c:pt>
                <c:pt idx="21">
                  <c:v>29.325370266110589</c:v>
                </c:pt>
                <c:pt idx="22">
                  <c:v>34.325370266110589</c:v>
                </c:pt>
                <c:pt idx="23">
                  <c:v>39.325370266110589</c:v>
                </c:pt>
                <c:pt idx="24">
                  <c:v>44.325370266110589</c:v>
                </c:pt>
                <c:pt idx="25">
                  <c:v>49.325370266110589</c:v>
                </c:pt>
                <c:pt idx="26">
                  <c:v>54.325370266110589</c:v>
                </c:pt>
                <c:pt idx="27">
                  <c:v>59.325370266110589</c:v>
                </c:pt>
                <c:pt idx="28">
                  <c:v>64.325370266110582</c:v>
                </c:pt>
              </c:numCache>
            </c:numRef>
          </c:yVal>
          <c:smooth val="0"/>
          <c:extLst>
            <c:ext xmlns:c16="http://schemas.microsoft.com/office/drawing/2014/chart" uri="{C3380CC4-5D6E-409C-BE32-E72D297353CC}">
              <c16:uniqueId val="{00000000-95CF-45C0-8F21-CBEB6D55D124}"/>
            </c:ext>
          </c:extLst>
        </c:ser>
        <c:dLbls>
          <c:showLegendKey val="0"/>
          <c:showVal val="0"/>
          <c:showCatName val="0"/>
          <c:showSerName val="0"/>
          <c:showPercent val="0"/>
          <c:showBubbleSize val="0"/>
        </c:dLbls>
        <c:axId val="1083187151"/>
        <c:axId val="1083187983"/>
      </c:scatterChart>
      <c:valAx>
        <c:axId val="1083187151"/>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187983"/>
        <c:crosses val="autoZero"/>
        <c:crossBetween val="midCat"/>
      </c:valAx>
      <c:valAx>
        <c:axId val="1083187983"/>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18715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Collar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'12-13'!$B$20:$B$48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'12-13'!$C$20:$C$48</c:f>
              <c:numCache>
                <c:formatCode>_-* #,##0.00_-;[Red]\(#,##0.00\);_-* "-"_-;_-@_-</c:formatCode>
                <c:ptCount val="29"/>
                <c:pt idx="0">
                  <c:v>-4.184677269899808</c:v>
                </c:pt>
                <c:pt idx="1">
                  <c:v>-4.184677269899808</c:v>
                </c:pt>
                <c:pt idx="2">
                  <c:v>-4.184677269899808</c:v>
                </c:pt>
                <c:pt idx="3">
                  <c:v>-4.184677269899808</c:v>
                </c:pt>
                <c:pt idx="4">
                  <c:v>-4.184677269899808</c:v>
                </c:pt>
                <c:pt idx="5">
                  <c:v>-4.184677269899808</c:v>
                </c:pt>
                <c:pt idx="6">
                  <c:v>-4.1846772698998045</c:v>
                </c:pt>
                <c:pt idx="7">
                  <c:v>-4.1846772698998045</c:v>
                </c:pt>
                <c:pt idx="8">
                  <c:v>-4.1846772698998045</c:v>
                </c:pt>
                <c:pt idx="9">
                  <c:v>-4.1846772698998045</c:v>
                </c:pt>
                <c:pt idx="10">
                  <c:v>-4.1846772698998045</c:v>
                </c:pt>
                <c:pt idx="11">
                  <c:v>-4.1846772698998045</c:v>
                </c:pt>
                <c:pt idx="12">
                  <c:v>-4.1846772698998045</c:v>
                </c:pt>
                <c:pt idx="13">
                  <c:v>-4.1846772698998045</c:v>
                </c:pt>
                <c:pt idx="14">
                  <c:v>-2.1846772698998045</c:v>
                </c:pt>
                <c:pt idx="15">
                  <c:v>-0.18467726989980449</c:v>
                </c:pt>
                <c:pt idx="16">
                  <c:v>-0.18467726989980449</c:v>
                </c:pt>
                <c:pt idx="17">
                  <c:v>-0.18467726989980449</c:v>
                </c:pt>
                <c:pt idx="18">
                  <c:v>-0.18467726989980449</c:v>
                </c:pt>
                <c:pt idx="19">
                  <c:v>-0.18467726989980449</c:v>
                </c:pt>
                <c:pt idx="20">
                  <c:v>-0.18467726989980449</c:v>
                </c:pt>
                <c:pt idx="21">
                  <c:v>-0.18467726989980449</c:v>
                </c:pt>
                <c:pt idx="22">
                  <c:v>-0.18467726989980449</c:v>
                </c:pt>
                <c:pt idx="23">
                  <c:v>-0.18467726989980804</c:v>
                </c:pt>
                <c:pt idx="24">
                  <c:v>-0.18467726989980804</c:v>
                </c:pt>
                <c:pt idx="25">
                  <c:v>-0.18467726989980804</c:v>
                </c:pt>
                <c:pt idx="26">
                  <c:v>-0.18467726989980804</c:v>
                </c:pt>
                <c:pt idx="27">
                  <c:v>-0.18467726989980804</c:v>
                </c:pt>
                <c:pt idx="28">
                  <c:v>-0.18467726989980804</c:v>
                </c:pt>
              </c:numCache>
            </c:numRef>
          </c:yVal>
          <c:smooth val="0"/>
          <c:extLst>
            <c:ext xmlns:c16="http://schemas.microsoft.com/office/drawing/2014/chart" uri="{C3380CC4-5D6E-409C-BE32-E72D297353CC}">
              <c16:uniqueId val="{00000000-8D05-4E5D-B08B-19B986955D01}"/>
            </c:ext>
          </c:extLst>
        </c:ser>
        <c:dLbls>
          <c:showLegendKey val="0"/>
          <c:showVal val="0"/>
          <c:showCatName val="0"/>
          <c:showSerName val="0"/>
          <c:showPercent val="0"/>
          <c:showBubbleSize val="0"/>
        </c:dLbls>
        <c:axId val="16515408"/>
        <c:axId val="16509168"/>
      </c:scatterChart>
      <c:valAx>
        <c:axId val="1651540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6509168"/>
        <c:crosses val="autoZero"/>
        <c:crossBetween val="midCat"/>
      </c:valAx>
      <c:valAx>
        <c:axId val="1650916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65154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Collar, Aktie, Short Call und Long Put</a:t>
            </a:r>
            <a:r>
              <a:rPr lang="de-DE" baseline="0"/>
              <a:t> </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Collar</c:v>
          </c:tx>
          <c:spPr>
            <a:ln w="19050" cap="rnd">
              <a:solidFill>
                <a:schemeClr val="accent1"/>
              </a:solidFill>
              <a:round/>
            </a:ln>
            <a:effectLst/>
          </c:spPr>
          <c:marker>
            <c:symbol val="none"/>
          </c:marker>
          <c:xVal>
            <c:numRef>
              <c:f>'12-13'!$B$20:$B$48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'12-13'!$C$20:$C$48</c:f>
              <c:numCache>
                <c:formatCode>_-* #,##0.00_-;[Red]\(#,##0.00\);_-* "-"_-;_-@_-</c:formatCode>
                <c:ptCount val="29"/>
                <c:pt idx="0">
                  <c:v>-4.184677269899808</c:v>
                </c:pt>
                <c:pt idx="1">
                  <c:v>-4.184677269899808</c:v>
                </c:pt>
                <c:pt idx="2">
                  <c:v>-4.184677269899808</c:v>
                </c:pt>
                <c:pt idx="3">
                  <c:v>-4.184677269899808</c:v>
                </c:pt>
                <c:pt idx="4">
                  <c:v>-4.184677269899808</c:v>
                </c:pt>
                <c:pt idx="5">
                  <c:v>-4.184677269899808</c:v>
                </c:pt>
                <c:pt idx="6">
                  <c:v>-4.1846772698998045</c:v>
                </c:pt>
                <c:pt idx="7">
                  <c:v>-4.1846772698998045</c:v>
                </c:pt>
                <c:pt idx="8">
                  <c:v>-4.1846772698998045</c:v>
                </c:pt>
                <c:pt idx="9">
                  <c:v>-4.1846772698998045</c:v>
                </c:pt>
                <c:pt idx="10">
                  <c:v>-4.1846772698998045</c:v>
                </c:pt>
                <c:pt idx="11">
                  <c:v>-4.1846772698998045</c:v>
                </c:pt>
                <c:pt idx="12">
                  <c:v>-4.1846772698998045</c:v>
                </c:pt>
                <c:pt idx="13">
                  <c:v>-4.1846772698998045</c:v>
                </c:pt>
                <c:pt idx="14">
                  <c:v>-2.1846772698998045</c:v>
                </c:pt>
                <c:pt idx="15">
                  <c:v>-0.18467726989980449</c:v>
                </c:pt>
                <c:pt idx="16">
                  <c:v>-0.18467726989980449</c:v>
                </c:pt>
                <c:pt idx="17">
                  <c:v>-0.18467726989980449</c:v>
                </c:pt>
                <c:pt idx="18">
                  <c:v>-0.18467726989980449</c:v>
                </c:pt>
                <c:pt idx="19">
                  <c:v>-0.18467726989980449</c:v>
                </c:pt>
                <c:pt idx="20">
                  <c:v>-0.18467726989980449</c:v>
                </c:pt>
                <c:pt idx="21">
                  <c:v>-0.18467726989980449</c:v>
                </c:pt>
                <c:pt idx="22">
                  <c:v>-0.18467726989980449</c:v>
                </c:pt>
                <c:pt idx="23">
                  <c:v>-0.18467726989980804</c:v>
                </c:pt>
                <c:pt idx="24">
                  <c:v>-0.18467726989980804</c:v>
                </c:pt>
                <c:pt idx="25">
                  <c:v>-0.18467726989980804</c:v>
                </c:pt>
                <c:pt idx="26">
                  <c:v>-0.18467726989980804</c:v>
                </c:pt>
                <c:pt idx="27">
                  <c:v>-0.18467726989980804</c:v>
                </c:pt>
                <c:pt idx="28">
                  <c:v>-0.18467726989980804</c:v>
                </c:pt>
              </c:numCache>
            </c:numRef>
          </c:yVal>
          <c:smooth val="0"/>
          <c:extLst>
            <c:ext xmlns:c16="http://schemas.microsoft.com/office/drawing/2014/chart" uri="{C3380CC4-5D6E-409C-BE32-E72D297353CC}">
              <c16:uniqueId val="{00000000-6831-4666-8190-2967D0334BF1}"/>
            </c:ext>
          </c:extLst>
        </c:ser>
        <c:ser>
          <c:idx val="1"/>
          <c:order val="1"/>
          <c:tx>
            <c:v>Aktie</c:v>
          </c:tx>
          <c:spPr>
            <a:ln w="19050" cap="rnd">
              <a:solidFill>
                <a:schemeClr val="accent2"/>
              </a:solidFill>
              <a:round/>
            </a:ln>
            <a:effectLst/>
          </c:spPr>
          <c:marker>
            <c:symbol val="none"/>
          </c:marker>
          <c:xVal>
            <c:numRef>
              <c:f>'12-13'!$B$20:$B$48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'12-13'!$P$20:$P$48</c:f>
              <c:numCache>
                <c:formatCode>_-* #,##0.00_-;[Red]\(#,##0.00\);_-* "-"_-;_-@_-</c:formatCode>
                <c:ptCount val="29"/>
                <c:pt idx="0">
                  <c:v>-70</c:v>
                </c:pt>
                <c:pt idx="1">
                  <c:v>-65</c:v>
                </c:pt>
                <c:pt idx="2">
                  <c:v>-60</c:v>
                </c:pt>
                <c:pt idx="3">
                  <c:v>-55</c:v>
                </c:pt>
                <c:pt idx="4">
                  <c:v>-50</c:v>
                </c:pt>
                <c:pt idx="5">
                  <c:v>-45</c:v>
                </c:pt>
                <c:pt idx="6">
                  <c:v>-40</c:v>
                </c:pt>
                <c:pt idx="7">
                  <c:v>-35</c:v>
                </c:pt>
                <c:pt idx="8">
                  <c:v>-30</c:v>
                </c:pt>
                <c:pt idx="9">
                  <c:v>-25</c:v>
                </c:pt>
                <c:pt idx="10">
                  <c:v>-20</c:v>
                </c:pt>
                <c:pt idx="11">
                  <c:v>-15</c:v>
                </c:pt>
                <c:pt idx="12">
                  <c:v>-10</c:v>
                </c:pt>
                <c:pt idx="13">
                  <c:v>-5</c:v>
                </c:pt>
                <c:pt idx="14">
                  <c:v>0</c:v>
                </c:pt>
                <c:pt idx="15">
                  <c:v>5</c:v>
                </c:pt>
                <c:pt idx="16">
                  <c:v>10</c:v>
                </c:pt>
                <c:pt idx="17">
                  <c:v>15</c:v>
                </c:pt>
                <c:pt idx="18">
                  <c:v>20</c:v>
                </c:pt>
                <c:pt idx="19">
                  <c:v>25</c:v>
                </c:pt>
                <c:pt idx="20">
                  <c:v>30</c:v>
                </c:pt>
                <c:pt idx="21">
                  <c:v>35</c:v>
                </c:pt>
                <c:pt idx="22">
                  <c:v>40</c:v>
                </c:pt>
                <c:pt idx="23">
                  <c:v>45</c:v>
                </c:pt>
                <c:pt idx="24">
                  <c:v>50</c:v>
                </c:pt>
                <c:pt idx="25">
                  <c:v>55</c:v>
                </c:pt>
                <c:pt idx="26">
                  <c:v>60</c:v>
                </c:pt>
                <c:pt idx="27">
                  <c:v>65</c:v>
                </c:pt>
                <c:pt idx="28">
                  <c:v>70</c:v>
                </c:pt>
              </c:numCache>
            </c:numRef>
          </c:yVal>
          <c:smooth val="0"/>
          <c:extLst>
            <c:ext xmlns:c16="http://schemas.microsoft.com/office/drawing/2014/chart" uri="{C3380CC4-5D6E-409C-BE32-E72D297353CC}">
              <c16:uniqueId val="{00000001-6831-4666-8190-2967D0334BF1}"/>
            </c:ext>
          </c:extLst>
        </c:ser>
        <c:ser>
          <c:idx val="2"/>
          <c:order val="2"/>
          <c:tx>
            <c:v>Short Call</c:v>
          </c:tx>
          <c:spPr>
            <a:ln w="19050" cap="rnd">
              <a:solidFill>
                <a:schemeClr val="accent3"/>
              </a:solidFill>
              <a:round/>
            </a:ln>
            <a:effectLst/>
          </c:spPr>
          <c:marker>
            <c:symbol val="none"/>
          </c:marker>
          <c:xVal>
            <c:numRef>
              <c:f>'12-13'!$B$20:$B$48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'12-13'!$S$20:$S$48</c:f>
              <c:numCache>
                <c:formatCode>_-* #,##0.00_-;[Red]\(#,##0.00\);_-* "-"_-;_-@_-</c:formatCode>
                <c:ptCount val="29"/>
                <c:pt idx="0">
                  <c:v>6.1273274075246036</c:v>
                </c:pt>
                <c:pt idx="1">
                  <c:v>6.1273274075246036</c:v>
                </c:pt>
                <c:pt idx="2">
                  <c:v>6.1273274075246036</c:v>
                </c:pt>
                <c:pt idx="3">
                  <c:v>6.1273274075246036</c:v>
                </c:pt>
                <c:pt idx="4">
                  <c:v>6.1273274075246036</c:v>
                </c:pt>
                <c:pt idx="5">
                  <c:v>6.1273274075246036</c:v>
                </c:pt>
                <c:pt idx="6">
                  <c:v>6.1273274075246036</c:v>
                </c:pt>
                <c:pt idx="7">
                  <c:v>6.1273274075246036</c:v>
                </c:pt>
                <c:pt idx="8">
                  <c:v>6.1273274075246036</c:v>
                </c:pt>
                <c:pt idx="9">
                  <c:v>6.1273274075246036</c:v>
                </c:pt>
                <c:pt idx="10">
                  <c:v>6.1273274075246036</c:v>
                </c:pt>
                <c:pt idx="11">
                  <c:v>6.1273274075246036</c:v>
                </c:pt>
                <c:pt idx="12">
                  <c:v>6.1273274075246036</c:v>
                </c:pt>
                <c:pt idx="13">
                  <c:v>6.1273274075246036</c:v>
                </c:pt>
                <c:pt idx="14">
                  <c:v>6.1273274075246036</c:v>
                </c:pt>
                <c:pt idx="15">
                  <c:v>3.1273274075246036</c:v>
                </c:pt>
                <c:pt idx="16">
                  <c:v>-1.8726725924753964</c:v>
                </c:pt>
                <c:pt idx="17">
                  <c:v>-6.8726725924753964</c:v>
                </c:pt>
                <c:pt idx="18">
                  <c:v>-11.872672592475396</c:v>
                </c:pt>
                <c:pt idx="19">
                  <c:v>-16.872672592475396</c:v>
                </c:pt>
                <c:pt idx="20">
                  <c:v>-21.872672592475396</c:v>
                </c:pt>
                <c:pt idx="21">
                  <c:v>-26.872672592475396</c:v>
                </c:pt>
                <c:pt idx="22">
                  <c:v>-31.872672592475396</c:v>
                </c:pt>
                <c:pt idx="23">
                  <c:v>-36.872672592475396</c:v>
                </c:pt>
                <c:pt idx="24">
                  <c:v>-41.872672592475396</c:v>
                </c:pt>
                <c:pt idx="25">
                  <c:v>-46.872672592475396</c:v>
                </c:pt>
                <c:pt idx="26">
                  <c:v>-51.872672592475396</c:v>
                </c:pt>
                <c:pt idx="27">
                  <c:v>-56.872672592475396</c:v>
                </c:pt>
                <c:pt idx="28">
                  <c:v>-61.872672592475396</c:v>
                </c:pt>
              </c:numCache>
            </c:numRef>
          </c:yVal>
          <c:smooth val="0"/>
          <c:extLst>
            <c:ext xmlns:c16="http://schemas.microsoft.com/office/drawing/2014/chart" uri="{C3380CC4-5D6E-409C-BE32-E72D297353CC}">
              <c16:uniqueId val="{00000002-6831-4666-8190-2967D0334BF1}"/>
            </c:ext>
          </c:extLst>
        </c:ser>
        <c:ser>
          <c:idx val="3"/>
          <c:order val="3"/>
          <c:tx>
            <c:v>Long Put</c:v>
          </c:tx>
          <c:spPr>
            <a:ln w="19050" cap="rnd">
              <a:solidFill>
                <a:schemeClr val="accent4"/>
              </a:solidFill>
              <a:round/>
            </a:ln>
            <a:effectLst/>
          </c:spPr>
          <c:marker>
            <c:symbol val="none"/>
          </c:marker>
          <c:xVal>
            <c:numRef>
              <c:f>'12-13'!$B$20:$B$48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'12-13'!$V$20:$V$48</c:f>
              <c:numCache>
                <c:formatCode>_-* #,##0.00_-;[Red]\(#,##0.00\);_-* "-"_-;_-@_-</c:formatCode>
                <c:ptCount val="29"/>
                <c:pt idx="0">
                  <c:v>59.687995322575588</c:v>
                </c:pt>
                <c:pt idx="1">
                  <c:v>54.687995322575588</c:v>
                </c:pt>
                <c:pt idx="2">
                  <c:v>49.687995322575588</c:v>
                </c:pt>
                <c:pt idx="3">
                  <c:v>44.687995322575588</c:v>
                </c:pt>
                <c:pt idx="4">
                  <c:v>39.687995322575588</c:v>
                </c:pt>
                <c:pt idx="5">
                  <c:v>34.687995322575588</c:v>
                </c:pt>
                <c:pt idx="6">
                  <c:v>29.687995322575592</c:v>
                </c:pt>
                <c:pt idx="7">
                  <c:v>24.687995322575592</c:v>
                </c:pt>
                <c:pt idx="8">
                  <c:v>19.687995322575592</c:v>
                </c:pt>
                <c:pt idx="9">
                  <c:v>14.687995322575592</c:v>
                </c:pt>
                <c:pt idx="10">
                  <c:v>9.6879953225755919</c:v>
                </c:pt>
                <c:pt idx="11">
                  <c:v>4.6879953225755919</c:v>
                </c:pt>
                <c:pt idx="12">
                  <c:v>-0.31200467742440807</c:v>
                </c:pt>
                <c:pt idx="13">
                  <c:v>-5.3120046774244081</c:v>
                </c:pt>
                <c:pt idx="14">
                  <c:v>-8.3120046774244081</c:v>
                </c:pt>
                <c:pt idx="15">
                  <c:v>-8.3120046774244081</c:v>
                </c:pt>
                <c:pt idx="16">
                  <c:v>-8.3120046774244081</c:v>
                </c:pt>
                <c:pt idx="17">
                  <c:v>-8.3120046774244081</c:v>
                </c:pt>
                <c:pt idx="18">
                  <c:v>-8.3120046774244081</c:v>
                </c:pt>
                <c:pt idx="19">
                  <c:v>-8.3120046774244081</c:v>
                </c:pt>
                <c:pt idx="20">
                  <c:v>-8.3120046774244081</c:v>
                </c:pt>
                <c:pt idx="21">
                  <c:v>-8.3120046774244081</c:v>
                </c:pt>
                <c:pt idx="22">
                  <c:v>-8.3120046774244081</c:v>
                </c:pt>
                <c:pt idx="23">
                  <c:v>-8.3120046774244081</c:v>
                </c:pt>
                <c:pt idx="24">
                  <c:v>-8.3120046774244081</c:v>
                </c:pt>
                <c:pt idx="25">
                  <c:v>-8.3120046774244081</c:v>
                </c:pt>
                <c:pt idx="26">
                  <c:v>-8.3120046774244081</c:v>
                </c:pt>
                <c:pt idx="27">
                  <c:v>-8.3120046774244081</c:v>
                </c:pt>
                <c:pt idx="28">
                  <c:v>-8.3120046774244081</c:v>
                </c:pt>
              </c:numCache>
            </c:numRef>
          </c:yVal>
          <c:smooth val="0"/>
          <c:extLst>
            <c:ext xmlns:c16="http://schemas.microsoft.com/office/drawing/2014/chart" uri="{C3380CC4-5D6E-409C-BE32-E72D297353CC}">
              <c16:uniqueId val="{00000003-6831-4666-8190-2967D0334BF1}"/>
            </c:ext>
          </c:extLst>
        </c:ser>
        <c:dLbls>
          <c:showLegendKey val="0"/>
          <c:showVal val="0"/>
          <c:showCatName val="0"/>
          <c:showSerName val="0"/>
          <c:showPercent val="0"/>
          <c:showBubbleSize val="0"/>
        </c:dLbls>
        <c:axId val="240230560"/>
        <c:axId val="240233056"/>
      </c:scatterChart>
      <c:valAx>
        <c:axId val="240230560"/>
        <c:scaling>
          <c:orientation val="minMax"/>
          <c:max val="100"/>
          <c:min val="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40233056"/>
        <c:crosses val="autoZero"/>
        <c:crossBetween val="midCat"/>
      </c:valAx>
      <c:valAx>
        <c:axId val="240233056"/>
        <c:scaling>
          <c:orientation val="minMax"/>
          <c:max val="25"/>
          <c:min val="-30"/>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402305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300"/>
              <a:t>Gewinnprofil Bull Call Spread, Short Call, Long Call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Bull Call Spread</c:v>
          </c:tx>
          <c:spPr>
            <a:ln w="19050" cap="rnd">
              <a:solidFill>
                <a:schemeClr val="accent1"/>
              </a:solidFill>
              <a:round/>
            </a:ln>
            <a:effectLst/>
          </c:spPr>
          <c:marker>
            <c:symbol val="none"/>
          </c:marker>
          <c:xVal>
            <c:numRef>
              <c:f>'14-15'!$B$30:$B$38</c:f>
              <c:numCache>
                <c:formatCode>0.00</c:formatCode>
                <c:ptCount val="9"/>
                <c:pt idx="0">
                  <c:v>50</c:v>
                </c:pt>
                <c:pt idx="1">
                  <c:v>55</c:v>
                </c:pt>
                <c:pt idx="2">
                  <c:v>60</c:v>
                </c:pt>
                <c:pt idx="3">
                  <c:v>65</c:v>
                </c:pt>
                <c:pt idx="4">
                  <c:v>70</c:v>
                </c:pt>
                <c:pt idx="5">
                  <c:v>75</c:v>
                </c:pt>
                <c:pt idx="6">
                  <c:v>80</c:v>
                </c:pt>
                <c:pt idx="7">
                  <c:v>85</c:v>
                </c:pt>
                <c:pt idx="8">
                  <c:v>90</c:v>
                </c:pt>
              </c:numCache>
            </c:numRef>
          </c:xVal>
          <c:yVal>
            <c:numRef>
              <c:f>'14-15'!$C$30:$C$38</c:f>
              <c:numCache>
                <c:formatCode>_-* #,##0.00_-;[Red]\(#,##0.00\);_-* "-"_-;_-@_-</c:formatCode>
                <c:ptCount val="9"/>
                <c:pt idx="0">
                  <c:v>-1.5473023263648074</c:v>
                </c:pt>
                <c:pt idx="1">
                  <c:v>-1.5473023263648074</c:v>
                </c:pt>
                <c:pt idx="2">
                  <c:v>-1.5473023263648074</c:v>
                </c:pt>
                <c:pt idx="3">
                  <c:v>-1.5473023263648074</c:v>
                </c:pt>
                <c:pt idx="4">
                  <c:v>0.45269767363519264</c:v>
                </c:pt>
                <c:pt idx="5">
                  <c:v>2.4526976736351926</c:v>
                </c:pt>
                <c:pt idx="6">
                  <c:v>2.4526976736351926</c:v>
                </c:pt>
                <c:pt idx="7">
                  <c:v>2.4526976736351926</c:v>
                </c:pt>
                <c:pt idx="8">
                  <c:v>2.4526976736351926</c:v>
                </c:pt>
              </c:numCache>
            </c:numRef>
          </c:yVal>
          <c:smooth val="0"/>
          <c:extLst>
            <c:ext xmlns:c16="http://schemas.microsoft.com/office/drawing/2014/chart" uri="{C3380CC4-5D6E-409C-BE32-E72D297353CC}">
              <c16:uniqueId val="{00000000-ADD7-4937-BD18-C2E6354DEB39}"/>
            </c:ext>
          </c:extLst>
        </c:ser>
        <c:ser>
          <c:idx val="1"/>
          <c:order val="1"/>
          <c:tx>
            <c:v>Short Call</c:v>
          </c:tx>
          <c:spPr>
            <a:ln w="19050" cap="rnd">
              <a:solidFill>
                <a:schemeClr val="accent2"/>
              </a:solidFill>
              <a:round/>
            </a:ln>
            <a:effectLst/>
          </c:spPr>
          <c:marker>
            <c:symbol val="none"/>
          </c:marker>
          <c:xVal>
            <c:numRef>
              <c:f>'14-15'!$B$30:$B$38</c:f>
              <c:numCache>
                <c:formatCode>0.00</c:formatCode>
                <c:ptCount val="9"/>
                <c:pt idx="0">
                  <c:v>50</c:v>
                </c:pt>
                <c:pt idx="1">
                  <c:v>55</c:v>
                </c:pt>
                <c:pt idx="2">
                  <c:v>60</c:v>
                </c:pt>
                <c:pt idx="3">
                  <c:v>65</c:v>
                </c:pt>
                <c:pt idx="4">
                  <c:v>70</c:v>
                </c:pt>
                <c:pt idx="5">
                  <c:v>75</c:v>
                </c:pt>
                <c:pt idx="6">
                  <c:v>80</c:v>
                </c:pt>
                <c:pt idx="7">
                  <c:v>85</c:v>
                </c:pt>
                <c:pt idx="8">
                  <c:v>90</c:v>
                </c:pt>
              </c:numCache>
            </c:numRef>
          </c:xVal>
          <c:yVal>
            <c:numRef>
              <c:f>'14-15'!$P$30:$P$38</c:f>
              <c:numCache>
                <c:formatCode>_-* #,##0.00_-;[Red]\(#,##0.00\);_-* "-"_-;_-@_-</c:formatCode>
                <c:ptCount val="9"/>
                <c:pt idx="0">
                  <c:v>6.1273274075246036</c:v>
                </c:pt>
                <c:pt idx="1">
                  <c:v>6.1273274075246036</c:v>
                </c:pt>
                <c:pt idx="2">
                  <c:v>6.1273274075246036</c:v>
                </c:pt>
                <c:pt idx="3">
                  <c:v>6.1273274075246036</c:v>
                </c:pt>
                <c:pt idx="4">
                  <c:v>6.1273274075246036</c:v>
                </c:pt>
                <c:pt idx="5">
                  <c:v>3.1273274075246036</c:v>
                </c:pt>
                <c:pt idx="6">
                  <c:v>-1.8726725924753964</c:v>
                </c:pt>
                <c:pt idx="7">
                  <c:v>-6.8726725924753964</c:v>
                </c:pt>
                <c:pt idx="8">
                  <c:v>-11.872672592475396</c:v>
                </c:pt>
              </c:numCache>
            </c:numRef>
          </c:yVal>
          <c:smooth val="0"/>
          <c:extLst>
            <c:ext xmlns:c16="http://schemas.microsoft.com/office/drawing/2014/chart" uri="{C3380CC4-5D6E-409C-BE32-E72D297353CC}">
              <c16:uniqueId val="{00000001-ADD7-4937-BD18-C2E6354DEB39}"/>
            </c:ext>
          </c:extLst>
        </c:ser>
        <c:ser>
          <c:idx val="2"/>
          <c:order val="2"/>
          <c:tx>
            <c:v>Long Call</c:v>
          </c:tx>
          <c:spPr>
            <a:ln w="19050" cap="rnd">
              <a:solidFill>
                <a:schemeClr val="accent3"/>
              </a:solidFill>
              <a:round/>
            </a:ln>
            <a:effectLst/>
          </c:spPr>
          <c:marker>
            <c:symbol val="none"/>
          </c:marker>
          <c:xVal>
            <c:numRef>
              <c:f>'14-15'!$B$30:$B$38</c:f>
              <c:numCache>
                <c:formatCode>0.00</c:formatCode>
                <c:ptCount val="9"/>
                <c:pt idx="0">
                  <c:v>50</c:v>
                </c:pt>
                <c:pt idx="1">
                  <c:v>55</c:v>
                </c:pt>
                <c:pt idx="2">
                  <c:v>60</c:v>
                </c:pt>
                <c:pt idx="3">
                  <c:v>65</c:v>
                </c:pt>
                <c:pt idx="4">
                  <c:v>70</c:v>
                </c:pt>
                <c:pt idx="5">
                  <c:v>75</c:v>
                </c:pt>
                <c:pt idx="6">
                  <c:v>80</c:v>
                </c:pt>
                <c:pt idx="7">
                  <c:v>85</c:v>
                </c:pt>
                <c:pt idx="8">
                  <c:v>90</c:v>
                </c:pt>
              </c:numCache>
            </c:numRef>
          </c:xVal>
          <c:yVal>
            <c:numRef>
              <c:f>'14-15'!$S$30:$S$38</c:f>
              <c:numCache>
                <c:formatCode>_-* #,##0.00_-;[Red]\(#,##0.00\);_-* "-"_-;_-@_-</c:formatCode>
                <c:ptCount val="9"/>
                <c:pt idx="0">
                  <c:v>-7.6746297338894109</c:v>
                </c:pt>
                <c:pt idx="1">
                  <c:v>-7.6746297338894109</c:v>
                </c:pt>
                <c:pt idx="2">
                  <c:v>-7.6746297338894109</c:v>
                </c:pt>
                <c:pt idx="3">
                  <c:v>-7.6746297338894109</c:v>
                </c:pt>
                <c:pt idx="4">
                  <c:v>-5.6746297338894109</c:v>
                </c:pt>
                <c:pt idx="5">
                  <c:v>-0.67462973388941094</c:v>
                </c:pt>
                <c:pt idx="6">
                  <c:v>4.3253702661105891</c:v>
                </c:pt>
                <c:pt idx="7">
                  <c:v>9.3253702661105891</c:v>
                </c:pt>
                <c:pt idx="8">
                  <c:v>14.325370266110589</c:v>
                </c:pt>
              </c:numCache>
            </c:numRef>
          </c:yVal>
          <c:smooth val="0"/>
          <c:extLst>
            <c:ext xmlns:c16="http://schemas.microsoft.com/office/drawing/2014/chart" uri="{C3380CC4-5D6E-409C-BE32-E72D297353CC}">
              <c16:uniqueId val="{00000002-ADD7-4937-BD18-C2E6354DEB39}"/>
            </c:ext>
          </c:extLst>
        </c:ser>
        <c:dLbls>
          <c:showLegendKey val="0"/>
          <c:showVal val="0"/>
          <c:showCatName val="0"/>
          <c:showSerName val="0"/>
          <c:showPercent val="0"/>
          <c:showBubbleSize val="0"/>
        </c:dLbls>
        <c:axId val="706921855"/>
        <c:axId val="706922271"/>
      </c:scatterChart>
      <c:valAx>
        <c:axId val="706921855"/>
        <c:scaling>
          <c:orientation val="minMax"/>
          <c:max val="90"/>
          <c:min val="5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6922271"/>
        <c:crosses val="autoZero"/>
        <c:crossBetween val="midCat"/>
      </c:valAx>
      <c:valAx>
        <c:axId val="706922271"/>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6921855"/>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Bull Call 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'14-15'!$B$20:$B$47</c:f>
              <c:numCache>
                <c:formatCode>0.00</c:formatCode>
                <c:ptCount val="28"/>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numCache>
            </c:numRef>
          </c:xVal>
          <c:yVal>
            <c:numRef>
              <c:f>'14-15'!$C$20:$C$47</c:f>
              <c:numCache>
                <c:formatCode>_-* #,##0.00_-;[Red]\(#,##0.00\);_-* "-"_-;_-@_-</c:formatCode>
                <c:ptCount val="28"/>
                <c:pt idx="0">
                  <c:v>-1.5473023263648074</c:v>
                </c:pt>
                <c:pt idx="1">
                  <c:v>-1.5473023263648074</c:v>
                </c:pt>
                <c:pt idx="2">
                  <c:v>-1.5473023263648074</c:v>
                </c:pt>
                <c:pt idx="3">
                  <c:v>-1.5473023263648074</c:v>
                </c:pt>
                <c:pt idx="4">
                  <c:v>-1.5473023263648074</c:v>
                </c:pt>
                <c:pt idx="5">
                  <c:v>-1.5473023263648074</c:v>
                </c:pt>
                <c:pt idx="6">
                  <c:v>-1.5473023263648074</c:v>
                </c:pt>
                <c:pt idx="7">
                  <c:v>-1.5473023263648074</c:v>
                </c:pt>
                <c:pt idx="8">
                  <c:v>-1.5473023263648074</c:v>
                </c:pt>
                <c:pt idx="9">
                  <c:v>-1.5473023263648074</c:v>
                </c:pt>
                <c:pt idx="10">
                  <c:v>-1.5473023263648074</c:v>
                </c:pt>
                <c:pt idx="11">
                  <c:v>-1.5473023263648074</c:v>
                </c:pt>
                <c:pt idx="12">
                  <c:v>-1.5473023263648074</c:v>
                </c:pt>
                <c:pt idx="13">
                  <c:v>-1.5473023263648074</c:v>
                </c:pt>
                <c:pt idx="14">
                  <c:v>0.45269767363519264</c:v>
                </c:pt>
                <c:pt idx="15">
                  <c:v>2.4526976736351926</c:v>
                </c:pt>
                <c:pt idx="16">
                  <c:v>2.4526976736351926</c:v>
                </c:pt>
                <c:pt idx="17">
                  <c:v>2.4526976736351926</c:v>
                </c:pt>
                <c:pt idx="18">
                  <c:v>2.4526976736351926</c:v>
                </c:pt>
                <c:pt idx="19">
                  <c:v>2.4526976736351926</c:v>
                </c:pt>
                <c:pt idx="20">
                  <c:v>2.4526976736351926</c:v>
                </c:pt>
                <c:pt idx="21">
                  <c:v>2.4526976736351926</c:v>
                </c:pt>
                <c:pt idx="22">
                  <c:v>2.4526976736351926</c:v>
                </c:pt>
                <c:pt idx="23">
                  <c:v>2.4526976736351926</c:v>
                </c:pt>
                <c:pt idx="24">
                  <c:v>2.4526976736351926</c:v>
                </c:pt>
                <c:pt idx="25">
                  <c:v>2.4526976736351926</c:v>
                </c:pt>
                <c:pt idx="26">
                  <c:v>2.4526976736351926</c:v>
                </c:pt>
                <c:pt idx="27">
                  <c:v>2.4526976736351926</c:v>
                </c:pt>
              </c:numCache>
            </c:numRef>
          </c:yVal>
          <c:smooth val="0"/>
          <c:extLst>
            <c:ext xmlns:c16="http://schemas.microsoft.com/office/drawing/2014/chart" uri="{C3380CC4-5D6E-409C-BE32-E72D297353CC}">
              <c16:uniqueId val="{00000000-CA6E-4E27-87F0-F9A529B666E7}"/>
            </c:ext>
          </c:extLst>
        </c:ser>
        <c:dLbls>
          <c:showLegendKey val="0"/>
          <c:showVal val="0"/>
          <c:showCatName val="0"/>
          <c:showSerName val="0"/>
          <c:showPercent val="0"/>
          <c:showBubbleSize val="0"/>
        </c:dLbls>
        <c:axId val="706897311"/>
        <c:axId val="706911039"/>
      </c:scatterChart>
      <c:valAx>
        <c:axId val="706897311"/>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6911039"/>
        <c:crosses val="autoZero"/>
        <c:crossBetween val="midCat"/>
      </c:valAx>
      <c:valAx>
        <c:axId val="706911039"/>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689731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Bull Put 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'16-17'!$B$20:$B$48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'16-17'!$C$20:$C$48</c:f>
              <c:numCache>
                <c:formatCode>_-* #,##0.00_-;[Red]\(#,##0.00\);_-* "-"_-;_-@_-</c:formatCode>
                <c:ptCount val="29"/>
                <c:pt idx="0">
                  <c:v>-1.587102991368134</c:v>
                </c:pt>
                <c:pt idx="1">
                  <c:v>-1.587102991368134</c:v>
                </c:pt>
                <c:pt idx="2">
                  <c:v>-1.587102991368134</c:v>
                </c:pt>
                <c:pt idx="3">
                  <c:v>-1.587102991368134</c:v>
                </c:pt>
                <c:pt idx="4">
                  <c:v>-1.587102991368134</c:v>
                </c:pt>
                <c:pt idx="5">
                  <c:v>-1.587102991368134</c:v>
                </c:pt>
                <c:pt idx="6">
                  <c:v>-1.5871029913681305</c:v>
                </c:pt>
                <c:pt idx="7">
                  <c:v>-1.5871029913681305</c:v>
                </c:pt>
                <c:pt idx="8">
                  <c:v>-1.5871029913681305</c:v>
                </c:pt>
                <c:pt idx="9">
                  <c:v>-1.5871029913681305</c:v>
                </c:pt>
                <c:pt idx="10">
                  <c:v>-1.5871029913681305</c:v>
                </c:pt>
                <c:pt idx="11">
                  <c:v>-1.5871029913681305</c:v>
                </c:pt>
                <c:pt idx="12">
                  <c:v>-1.5871029913681305</c:v>
                </c:pt>
                <c:pt idx="13">
                  <c:v>-1.5871029913681305</c:v>
                </c:pt>
                <c:pt idx="14">
                  <c:v>0.41289700863186951</c:v>
                </c:pt>
                <c:pt idx="15">
                  <c:v>2.4128970086318695</c:v>
                </c:pt>
                <c:pt idx="16">
                  <c:v>2.4128970086318695</c:v>
                </c:pt>
                <c:pt idx="17">
                  <c:v>2.4128970086318695</c:v>
                </c:pt>
                <c:pt idx="18">
                  <c:v>2.4128970086318695</c:v>
                </c:pt>
                <c:pt idx="19">
                  <c:v>2.4128970086318695</c:v>
                </c:pt>
                <c:pt idx="20">
                  <c:v>2.4128970086318695</c:v>
                </c:pt>
                <c:pt idx="21">
                  <c:v>2.4128970086318695</c:v>
                </c:pt>
                <c:pt idx="22">
                  <c:v>2.4128970086318695</c:v>
                </c:pt>
                <c:pt idx="23">
                  <c:v>2.4128970086318695</c:v>
                </c:pt>
                <c:pt idx="24">
                  <c:v>2.4128970086318695</c:v>
                </c:pt>
                <c:pt idx="25">
                  <c:v>2.4128970086318695</c:v>
                </c:pt>
                <c:pt idx="26">
                  <c:v>2.4128970086318695</c:v>
                </c:pt>
                <c:pt idx="27">
                  <c:v>2.4128970086318695</c:v>
                </c:pt>
                <c:pt idx="28">
                  <c:v>2.4128970086318695</c:v>
                </c:pt>
              </c:numCache>
            </c:numRef>
          </c:yVal>
          <c:smooth val="0"/>
          <c:extLst>
            <c:ext xmlns:c16="http://schemas.microsoft.com/office/drawing/2014/chart" uri="{C3380CC4-5D6E-409C-BE32-E72D297353CC}">
              <c16:uniqueId val="{00000000-44C3-42C1-8FEC-55ED6E1902C9}"/>
            </c:ext>
          </c:extLst>
        </c:ser>
        <c:dLbls>
          <c:showLegendKey val="0"/>
          <c:showVal val="0"/>
          <c:showCatName val="0"/>
          <c:showSerName val="0"/>
          <c:showPercent val="0"/>
          <c:showBubbleSize val="0"/>
        </c:dLbls>
        <c:axId val="239425520"/>
        <c:axId val="239427600"/>
      </c:scatterChart>
      <c:valAx>
        <c:axId val="239425520"/>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9427600"/>
        <c:crosses val="autoZero"/>
        <c:crossBetween val="midCat"/>
      </c:valAx>
      <c:valAx>
        <c:axId val="239427600"/>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394255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Bull Put Spread, Short Put</a:t>
            </a:r>
            <a:r>
              <a:rPr lang="de-DE" baseline="0"/>
              <a:t> und Long Put</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Bull Put Spread</c:v>
          </c:tx>
          <c:spPr>
            <a:ln w="19050" cap="rnd">
              <a:solidFill>
                <a:schemeClr val="accent1"/>
              </a:solidFill>
              <a:round/>
            </a:ln>
            <a:effectLst/>
          </c:spPr>
          <c:marker>
            <c:symbol val="none"/>
          </c:marker>
          <c:xVal>
            <c:numRef>
              <c:f>'16-17'!$B$20:$B$48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'16-17'!$C$20:$C$48</c:f>
              <c:numCache>
                <c:formatCode>_-* #,##0.00_-;[Red]\(#,##0.00\);_-* "-"_-;_-@_-</c:formatCode>
                <c:ptCount val="29"/>
                <c:pt idx="0">
                  <c:v>-1.587102991368134</c:v>
                </c:pt>
                <c:pt idx="1">
                  <c:v>-1.587102991368134</c:v>
                </c:pt>
                <c:pt idx="2">
                  <c:v>-1.587102991368134</c:v>
                </c:pt>
                <c:pt idx="3">
                  <c:v>-1.587102991368134</c:v>
                </c:pt>
                <c:pt idx="4">
                  <c:v>-1.587102991368134</c:v>
                </c:pt>
                <c:pt idx="5">
                  <c:v>-1.587102991368134</c:v>
                </c:pt>
                <c:pt idx="6">
                  <c:v>-1.5871029913681305</c:v>
                </c:pt>
                <c:pt idx="7">
                  <c:v>-1.5871029913681305</c:v>
                </c:pt>
                <c:pt idx="8">
                  <c:v>-1.5871029913681305</c:v>
                </c:pt>
                <c:pt idx="9">
                  <c:v>-1.5871029913681305</c:v>
                </c:pt>
                <c:pt idx="10">
                  <c:v>-1.5871029913681305</c:v>
                </c:pt>
                <c:pt idx="11">
                  <c:v>-1.5871029913681305</c:v>
                </c:pt>
                <c:pt idx="12">
                  <c:v>-1.5871029913681305</c:v>
                </c:pt>
                <c:pt idx="13">
                  <c:v>-1.5871029913681305</c:v>
                </c:pt>
                <c:pt idx="14">
                  <c:v>0.41289700863186951</c:v>
                </c:pt>
                <c:pt idx="15">
                  <c:v>2.4128970086318695</c:v>
                </c:pt>
                <c:pt idx="16">
                  <c:v>2.4128970086318695</c:v>
                </c:pt>
                <c:pt idx="17">
                  <c:v>2.4128970086318695</c:v>
                </c:pt>
                <c:pt idx="18">
                  <c:v>2.4128970086318695</c:v>
                </c:pt>
                <c:pt idx="19">
                  <c:v>2.4128970086318695</c:v>
                </c:pt>
                <c:pt idx="20">
                  <c:v>2.4128970086318695</c:v>
                </c:pt>
                <c:pt idx="21">
                  <c:v>2.4128970086318695</c:v>
                </c:pt>
                <c:pt idx="22">
                  <c:v>2.4128970086318695</c:v>
                </c:pt>
                <c:pt idx="23">
                  <c:v>2.4128970086318695</c:v>
                </c:pt>
                <c:pt idx="24">
                  <c:v>2.4128970086318695</c:v>
                </c:pt>
                <c:pt idx="25">
                  <c:v>2.4128970086318695</c:v>
                </c:pt>
                <c:pt idx="26">
                  <c:v>2.4128970086318695</c:v>
                </c:pt>
                <c:pt idx="27">
                  <c:v>2.4128970086318695</c:v>
                </c:pt>
                <c:pt idx="28">
                  <c:v>2.4128970086318695</c:v>
                </c:pt>
              </c:numCache>
            </c:numRef>
          </c:yVal>
          <c:smooth val="0"/>
          <c:extLst>
            <c:ext xmlns:c16="http://schemas.microsoft.com/office/drawing/2014/chart" uri="{C3380CC4-5D6E-409C-BE32-E72D297353CC}">
              <c16:uniqueId val="{00000000-C481-4FB6-A991-00832488582C}"/>
            </c:ext>
          </c:extLst>
        </c:ser>
        <c:ser>
          <c:idx val="1"/>
          <c:order val="1"/>
          <c:tx>
            <c:v>Short Put</c:v>
          </c:tx>
          <c:spPr>
            <a:ln w="19050" cap="rnd">
              <a:solidFill>
                <a:schemeClr val="accent2"/>
              </a:solidFill>
              <a:round/>
            </a:ln>
            <a:effectLst/>
          </c:spPr>
          <c:marker>
            <c:symbol val="none"/>
          </c:marker>
          <c:xVal>
            <c:numRef>
              <c:f>'16-17'!$B$20:$B$48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'16-17'!$P$20:$P$48</c:f>
              <c:numCache>
                <c:formatCode>_-* #,##0.00_-;[Red]\(#,##0.00\);_-* "-"_-;_-@_-</c:formatCode>
                <c:ptCount val="29"/>
                <c:pt idx="0">
                  <c:v>-61.275098313943722</c:v>
                </c:pt>
                <c:pt idx="1">
                  <c:v>-56.275098313943722</c:v>
                </c:pt>
                <c:pt idx="2">
                  <c:v>-51.275098313943722</c:v>
                </c:pt>
                <c:pt idx="3">
                  <c:v>-46.275098313943722</c:v>
                </c:pt>
                <c:pt idx="4">
                  <c:v>-41.275098313943722</c:v>
                </c:pt>
                <c:pt idx="5">
                  <c:v>-36.275098313943722</c:v>
                </c:pt>
                <c:pt idx="6">
                  <c:v>-31.275098313943722</c:v>
                </c:pt>
                <c:pt idx="7">
                  <c:v>-26.275098313943722</c:v>
                </c:pt>
                <c:pt idx="8">
                  <c:v>-21.275098313943722</c:v>
                </c:pt>
                <c:pt idx="9">
                  <c:v>-16.275098313943722</c:v>
                </c:pt>
                <c:pt idx="10">
                  <c:v>-11.275098313943722</c:v>
                </c:pt>
                <c:pt idx="11">
                  <c:v>-6.2750983139437224</c:v>
                </c:pt>
                <c:pt idx="12">
                  <c:v>-1.2750983139437224</c:v>
                </c:pt>
                <c:pt idx="13">
                  <c:v>3.7249016860562776</c:v>
                </c:pt>
                <c:pt idx="14">
                  <c:v>8.7249016860562776</c:v>
                </c:pt>
                <c:pt idx="15">
                  <c:v>10.724901686056278</c:v>
                </c:pt>
                <c:pt idx="16">
                  <c:v>10.724901686056278</c:v>
                </c:pt>
                <c:pt idx="17">
                  <c:v>10.724901686056278</c:v>
                </c:pt>
                <c:pt idx="18">
                  <c:v>10.724901686056278</c:v>
                </c:pt>
                <c:pt idx="19">
                  <c:v>10.724901686056278</c:v>
                </c:pt>
                <c:pt idx="20">
                  <c:v>10.724901686056278</c:v>
                </c:pt>
                <c:pt idx="21">
                  <c:v>10.724901686056278</c:v>
                </c:pt>
                <c:pt idx="22">
                  <c:v>10.724901686056278</c:v>
                </c:pt>
                <c:pt idx="23">
                  <c:v>10.724901686056278</c:v>
                </c:pt>
                <c:pt idx="24">
                  <c:v>10.724901686056278</c:v>
                </c:pt>
                <c:pt idx="25">
                  <c:v>10.724901686056278</c:v>
                </c:pt>
                <c:pt idx="26">
                  <c:v>10.724901686056278</c:v>
                </c:pt>
                <c:pt idx="27">
                  <c:v>10.724901686056278</c:v>
                </c:pt>
                <c:pt idx="28">
                  <c:v>10.724901686056278</c:v>
                </c:pt>
              </c:numCache>
            </c:numRef>
          </c:yVal>
          <c:smooth val="0"/>
          <c:extLst>
            <c:ext xmlns:c16="http://schemas.microsoft.com/office/drawing/2014/chart" uri="{C3380CC4-5D6E-409C-BE32-E72D297353CC}">
              <c16:uniqueId val="{00000001-C481-4FB6-A991-00832488582C}"/>
            </c:ext>
          </c:extLst>
        </c:ser>
        <c:ser>
          <c:idx val="2"/>
          <c:order val="2"/>
          <c:tx>
            <c:v>Long Put</c:v>
          </c:tx>
          <c:spPr>
            <a:ln w="19050" cap="rnd">
              <a:solidFill>
                <a:schemeClr val="accent3"/>
              </a:solidFill>
              <a:round/>
            </a:ln>
            <a:effectLst/>
          </c:spPr>
          <c:marker>
            <c:symbol val="none"/>
          </c:marker>
          <c:xVal>
            <c:numRef>
              <c:f>'16-17'!$B$20:$B$48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'16-17'!$S$20:$S$48</c:f>
              <c:numCache>
                <c:formatCode>_-* #,##0.00_-;[Red]\(#,##0.00\);_-* "-"_-;_-@_-</c:formatCode>
                <c:ptCount val="29"/>
                <c:pt idx="0">
                  <c:v>59.687995322575588</c:v>
                </c:pt>
                <c:pt idx="1">
                  <c:v>54.687995322575588</c:v>
                </c:pt>
                <c:pt idx="2">
                  <c:v>49.687995322575588</c:v>
                </c:pt>
                <c:pt idx="3">
                  <c:v>44.687995322575588</c:v>
                </c:pt>
                <c:pt idx="4">
                  <c:v>39.687995322575588</c:v>
                </c:pt>
                <c:pt idx="5">
                  <c:v>34.687995322575588</c:v>
                </c:pt>
                <c:pt idx="6">
                  <c:v>29.687995322575592</c:v>
                </c:pt>
                <c:pt idx="7">
                  <c:v>24.687995322575592</c:v>
                </c:pt>
                <c:pt idx="8">
                  <c:v>19.687995322575592</c:v>
                </c:pt>
                <c:pt idx="9">
                  <c:v>14.687995322575592</c:v>
                </c:pt>
                <c:pt idx="10">
                  <c:v>9.6879953225755919</c:v>
                </c:pt>
                <c:pt idx="11">
                  <c:v>4.6879953225755919</c:v>
                </c:pt>
                <c:pt idx="12">
                  <c:v>-0.31200467742440807</c:v>
                </c:pt>
                <c:pt idx="13">
                  <c:v>-5.3120046774244081</c:v>
                </c:pt>
                <c:pt idx="14">
                  <c:v>-8.3120046774244081</c:v>
                </c:pt>
                <c:pt idx="15">
                  <c:v>-8.3120046774244081</c:v>
                </c:pt>
                <c:pt idx="16">
                  <c:v>-8.3120046774244081</c:v>
                </c:pt>
                <c:pt idx="17">
                  <c:v>-8.3120046774244081</c:v>
                </c:pt>
                <c:pt idx="18">
                  <c:v>-8.3120046774244081</c:v>
                </c:pt>
                <c:pt idx="19">
                  <c:v>-8.3120046774244081</c:v>
                </c:pt>
                <c:pt idx="20">
                  <c:v>-8.3120046774244081</c:v>
                </c:pt>
                <c:pt idx="21">
                  <c:v>-8.3120046774244081</c:v>
                </c:pt>
                <c:pt idx="22">
                  <c:v>-8.3120046774244081</c:v>
                </c:pt>
                <c:pt idx="23">
                  <c:v>-8.3120046774244081</c:v>
                </c:pt>
                <c:pt idx="24">
                  <c:v>-8.3120046774244081</c:v>
                </c:pt>
                <c:pt idx="25">
                  <c:v>-8.3120046774244081</c:v>
                </c:pt>
                <c:pt idx="26">
                  <c:v>-8.3120046774244081</c:v>
                </c:pt>
                <c:pt idx="27">
                  <c:v>-8.3120046774244081</c:v>
                </c:pt>
                <c:pt idx="28">
                  <c:v>-8.3120046774244081</c:v>
                </c:pt>
              </c:numCache>
            </c:numRef>
          </c:yVal>
          <c:smooth val="0"/>
          <c:extLst>
            <c:ext xmlns:c16="http://schemas.microsoft.com/office/drawing/2014/chart" uri="{C3380CC4-5D6E-409C-BE32-E72D297353CC}">
              <c16:uniqueId val="{00000002-C481-4FB6-A991-00832488582C}"/>
            </c:ext>
          </c:extLst>
        </c:ser>
        <c:dLbls>
          <c:showLegendKey val="0"/>
          <c:showVal val="0"/>
          <c:showCatName val="0"/>
          <c:showSerName val="0"/>
          <c:showPercent val="0"/>
          <c:showBubbleSize val="0"/>
        </c:dLbls>
        <c:axId val="390761648"/>
        <c:axId val="390762480"/>
      </c:scatterChart>
      <c:valAx>
        <c:axId val="390761648"/>
        <c:scaling>
          <c:orientation val="minMax"/>
          <c:max val="100"/>
          <c:min val="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90762480"/>
        <c:crosses val="autoZero"/>
        <c:crossBetween val="midCat"/>
      </c:valAx>
      <c:valAx>
        <c:axId val="390762480"/>
        <c:scaling>
          <c:orientation val="minMax"/>
          <c:max val="20"/>
          <c:min val="-20"/>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90761648"/>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Call Backspread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'18-19'!$B$20:$B$48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'18-19'!$C$20:$C$48</c:f>
              <c:numCache>
                <c:formatCode>_-* #,##0.00_-;[Red]\(#,##0.00\);_-* "-"_-;_-@_-</c:formatCode>
                <c:ptCount val="29"/>
                <c:pt idx="0">
                  <c:v>-4.5800250811597962</c:v>
                </c:pt>
                <c:pt idx="1">
                  <c:v>-4.5800250811597962</c:v>
                </c:pt>
                <c:pt idx="2">
                  <c:v>-4.5800250811597962</c:v>
                </c:pt>
                <c:pt idx="3">
                  <c:v>-4.5800250811597962</c:v>
                </c:pt>
                <c:pt idx="4">
                  <c:v>-4.5800250811597962</c:v>
                </c:pt>
                <c:pt idx="5">
                  <c:v>-4.5800250811597962</c:v>
                </c:pt>
                <c:pt idx="6">
                  <c:v>-4.5800250811597962</c:v>
                </c:pt>
                <c:pt idx="7">
                  <c:v>-4.5800250811597962</c:v>
                </c:pt>
                <c:pt idx="8">
                  <c:v>-4.5800250811597962</c:v>
                </c:pt>
                <c:pt idx="9">
                  <c:v>-4.5800250811597962</c:v>
                </c:pt>
                <c:pt idx="10">
                  <c:v>-4.5800250811597962</c:v>
                </c:pt>
                <c:pt idx="11">
                  <c:v>-4.5800250811597962</c:v>
                </c:pt>
                <c:pt idx="12">
                  <c:v>-4.5800250811597962</c:v>
                </c:pt>
                <c:pt idx="13">
                  <c:v>-4.5800250811597962</c:v>
                </c:pt>
                <c:pt idx="14">
                  <c:v>-6.5800250811597962</c:v>
                </c:pt>
                <c:pt idx="15">
                  <c:v>-5.5800250811597962</c:v>
                </c:pt>
                <c:pt idx="16">
                  <c:v>-0.58002508115979623</c:v>
                </c:pt>
                <c:pt idx="17">
                  <c:v>4.4199749188402038</c:v>
                </c:pt>
                <c:pt idx="18">
                  <c:v>9.4199749188402038</c:v>
                </c:pt>
                <c:pt idx="19">
                  <c:v>14.419974918840204</c:v>
                </c:pt>
                <c:pt idx="20">
                  <c:v>19.419974918840204</c:v>
                </c:pt>
                <c:pt idx="21">
                  <c:v>24.419974918840204</c:v>
                </c:pt>
                <c:pt idx="22">
                  <c:v>29.419974918840204</c:v>
                </c:pt>
                <c:pt idx="23">
                  <c:v>34.419974918840204</c:v>
                </c:pt>
                <c:pt idx="24">
                  <c:v>39.419974918840204</c:v>
                </c:pt>
                <c:pt idx="25">
                  <c:v>44.419974918840204</c:v>
                </c:pt>
                <c:pt idx="26">
                  <c:v>49.419974918840204</c:v>
                </c:pt>
                <c:pt idx="27">
                  <c:v>54.419974918840204</c:v>
                </c:pt>
                <c:pt idx="28">
                  <c:v>59.419974918840211</c:v>
                </c:pt>
              </c:numCache>
            </c:numRef>
          </c:yVal>
          <c:smooth val="0"/>
          <c:extLst>
            <c:ext xmlns:c16="http://schemas.microsoft.com/office/drawing/2014/chart" uri="{C3380CC4-5D6E-409C-BE32-E72D297353CC}">
              <c16:uniqueId val="{00000000-0178-4081-9671-F0F5CD2D9F92}"/>
            </c:ext>
          </c:extLst>
        </c:ser>
        <c:dLbls>
          <c:showLegendKey val="0"/>
          <c:showVal val="0"/>
          <c:showCatName val="0"/>
          <c:showSerName val="0"/>
          <c:showPercent val="0"/>
          <c:showBubbleSize val="0"/>
        </c:dLbls>
        <c:axId val="117528127"/>
        <c:axId val="117528543"/>
      </c:scatterChart>
      <c:valAx>
        <c:axId val="117528127"/>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7528543"/>
        <c:crosses val="autoZero"/>
        <c:crossBetween val="midCat"/>
      </c:valAx>
      <c:valAx>
        <c:axId val="117528543"/>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752812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300"/>
              <a:t>Gewinnprofil</a:t>
            </a:r>
            <a:r>
              <a:rPr lang="de-DE" sz="1300" baseline="0"/>
              <a:t> Call Backspread, Long Call, Short Call</a:t>
            </a:r>
            <a:endParaRPr lang="de-DE" sz="13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Call Backspread</c:v>
          </c:tx>
          <c:spPr>
            <a:ln w="19050" cap="rnd">
              <a:solidFill>
                <a:schemeClr val="accent1"/>
              </a:solidFill>
              <a:round/>
            </a:ln>
            <a:effectLst/>
          </c:spPr>
          <c:marker>
            <c:symbol val="none"/>
          </c:marker>
          <c:xVal>
            <c:numRef>
              <c:f>'18-19'!$B$20:$B$48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'18-19'!$C$20:$C$48</c:f>
              <c:numCache>
                <c:formatCode>_-* #,##0.00_-;[Red]\(#,##0.00\);_-* "-"_-;_-@_-</c:formatCode>
                <c:ptCount val="29"/>
                <c:pt idx="0">
                  <c:v>-4.5800250811597962</c:v>
                </c:pt>
                <c:pt idx="1">
                  <c:v>-4.5800250811597962</c:v>
                </c:pt>
                <c:pt idx="2">
                  <c:v>-4.5800250811597962</c:v>
                </c:pt>
                <c:pt idx="3">
                  <c:v>-4.5800250811597962</c:v>
                </c:pt>
                <c:pt idx="4">
                  <c:v>-4.5800250811597962</c:v>
                </c:pt>
                <c:pt idx="5">
                  <c:v>-4.5800250811597962</c:v>
                </c:pt>
                <c:pt idx="6">
                  <c:v>-4.5800250811597962</c:v>
                </c:pt>
                <c:pt idx="7">
                  <c:v>-4.5800250811597962</c:v>
                </c:pt>
                <c:pt idx="8">
                  <c:v>-4.5800250811597962</c:v>
                </c:pt>
                <c:pt idx="9">
                  <c:v>-4.5800250811597962</c:v>
                </c:pt>
                <c:pt idx="10">
                  <c:v>-4.5800250811597962</c:v>
                </c:pt>
                <c:pt idx="11">
                  <c:v>-4.5800250811597962</c:v>
                </c:pt>
                <c:pt idx="12">
                  <c:v>-4.5800250811597962</c:v>
                </c:pt>
                <c:pt idx="13">
                  <c:v>-4.5800250811597962</c:v>
                </c:pt>
                <c:pt idx="14">
                  <c:v>-6.5800250811597962</c:v>
                </c:pt>
                <c:pt idx="15">
                  <c:v>-5.5800250811597962</c:v>
                </c:pt>
                <c:pt idx="16">
                  <c:v>-0.58002508115979623</c:v>
                </c:pt>
                <c:pt idx="17">
                  <c:v>4.4199749188402038</c:v>
                </c:pt>
                <c:pt idx="18">
                  <c:v>9.4199749188402038</c:v>
                </c:pt>
                <c:pt idx="19">
                  <c:v>14.419974918840204</c:v>
                </c:pt>
                <c:pt idx="20">
                  <c:v>19.419974918840204</c:v>
                </c:pt>
                <c:pt idx="21">
                  <c:v>24.419974918840204</c:v>
                </c:pt>
                <c:pt idx="22">
                  <c:v>29.419974918840204</c:v>
                </c:pt>
                <c:pt idx="23">
                  <c:v>34.419974918840204</c:v>
                </c:pt>
                <c:pt idx="24">
                  <c:v>39.419974918840204</c:v>
                </c:pt>
                <c:pt idx="25">
                  <c:v>44.419974918840204</c:v>
                </c:pt>
                <c:pt idx="26">
                  <c:v>49.419974918840204</c:v>
                </c:pt>
                <c:pt idx="27">
                  <c:v>54.419974918840204</c:v>
                </c:pt>
                <c:pt idx="28">
                  <c:v>59.419974918840211</c:v>
                </c:pt>
              </c:numCache>
            </c:numRef>
          </c:yVal>
          <c:smooth val="0"/>
          <c:extLst>
            <c:ext xmlns:c16="http://schemas.microsoft.com/office/drawing/2014/chart" uri="{C3380CC4-5D6E-409C-BE32-E72D297353CC}">
              <c16:uniqueId val="{00000000-1069-4AA7-A862-F08B9138091F}"/>
            </c:ext>
          </c:extLst>
        </c:ser>
        <c:ser>
          <c:idx val="1"/>
          <c:order val="1"/>
          <c:tx>
            <c:v>Long Call</c:v>
          </c:tx>
          <c:spPr>
            <a:ln w="19050" cap="rnd">
              <a:solidFill>
                <a:schemeClr val="accent2"/>
              </a:solidFill>
              <a:round/>
            </a:ln>
            <a:effectLst/>
          </c:spPr>
          <c:marker>
            <c:symbol val="none"/>
          </c:marker>
          <c:xVal>
            <c:numRef>
              <c:f>'18-19'!$B$20:$B$48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'18-19'!$P$20:$P$48</c:f>
              <c:numCache>
                <c:formatCode>_-* #,##0.00_-;[Red]\(#,##0.00\);_-* "-"_-;_-@_-</c:formatCode>
                <c:ptCount val="29"/>
                <c:pt idx="0">
                  <c:v>-12.254654815049207</c:v>
                </c:pt>
                <c:pt idx="1">
                  <c:v>-12.254654815049207</c:v>
                </c:pt>
                <c:pt idx="2">
                  <c:v>-12.254654815049207</c:v>
                </c:pt>
                <c:pt idx="3">
                  <c:v>-12.254654815049207</c:v>
                </c:pt>
                <c:pt idx="4">
                  <c:v>-12.254654815049207</c:v>
                </c:pt>
                <c:pt idx="5">
                  <c:v>-12.254654815049207</c:v>
                </c:pt>
                <c:pt idx="6">
                  <c:v>-12.254654815049207</c:v>
                </c:pt>
                <c:pt idx="7">
                  <c:v>-12.254654815049207</c:v>
                </c:pt>
                <c:pt idx="8">
                  <c:v>-12.254654815049207</c:v>
                </c:pt>
                <c:pt idx="9">
                  <c:v>-12.254654815049207</c:v>
                </c:pt>
                <c:pt idx="10">
                  <c:v>-12.254654815049207</c:v>
                </c:pt>
                <c:pt idx="11">
                  <c:v>-12.254654815049207</c:v>
                </c:pt>
                <c:pt idx="12">
                  <c:v>-12.254654815049207</c:v>
                </c:pt>
                <c:pt idx="13">
                  <c:v>-12.254654815049207</c:v>
                </c:pt>
                <c:pt idx="14">
                  <c:v>-12.254654815049207</c:v>
                </c:pt>
                <c:pt idx="15">
                  <c:v>-6.2546548150492072</c:v>
                </c:pt>
                <c:pt idx="16">
                  <c:v>3.7453451849507928</c:v>
                </c:pt>
                <c:pt idx="17">
                  <c:v>13.745345184950793</c:v>
                </c:pt>
                <c:pt idx="18">
                  <c:v>23.745345184950793</c:v>
                </c:pt>
                <c:pt idx="19">
                  <c:v>33.745345184950793</c:v>
                </c:pt>
                <c:pt idx="20">
                  <c:v>43.745345184950793</c:v>
                </c:pt>
                <c:pt idx="21">
                  <c:v>53.745345184950793</c:v>
                </c:pt>
                <c:pt idx="22">
                  <c:v>63.745345184950793</c:v>
                </c:pt>
                <c:pt idx="23">
                  <c:v>73.745345184950793</c:v>
                </c:pt>
                <c:pt idx="24">
                  <c:v>83.745345184950793</c:v>
                </c:pt>
                <c:pt idx="25">
                  <c:v>93.745345184950793</c:v>
                </c:pt>
                <c:pt idx="26">
                  <c:v>103.74534518495079</c:v>
                </c:pt>
                <c:pt idx="27">
                  <c:v>113.74534518495079</c:v>
                </c:pt>
                <c:pt idx="28">
                  <c:v>123.74534518495079</c:v>
                </c:pt>
              </c:numCache>
            </c:numRef>
          </c:yVal>
          <c:smooth val="0"/>
          <c:extLst>
            <c:ext xmlns:c16="http://schemas.microsoft.com/office/drawing/2014/chart" uri="{C3380CC4-5D6E-409C-BE32-E72D297353CC}">
              <c16:uniqueId val="{00000001-1069-4AA7-A862-F08B9138091F}"/>
            </c:ext>
          </c:extLst>
        </c:ser>
        <c:ser>
          <c:idx val="2"/>
          <c:order val="2"/>
          <c:tx>
            <c:v>Short Call</c:v>
          </c:tx>
          <c:spPr>
            <a:ln w="19050" cap="rnd">
              <a:solidFill>
                <a:schemeClr val="accent3"/>
              </a:solidFill>
              <a:round/>
            </a:ln>
            <a:effectLst/>
          </c:spPr>
          <c:marker>
            <c:symbol val="none"/>
          </c:marker>
          <c:xVal>
            <c:numRef>
              <c:f>'18-19'!$B$20:$B$48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'18-19'!$S$20:$S$48</c:f>
              <c:numCache>
                <c:formatCode>_-* #,##0.00_-;[Red]\(#,##0.00\);_-* "-"_-;_-@_-</c:formatCode>
                <c:ptCount val="29"/>
                <c:pt idx="0">
                  <c:v>7.6746297338894109</c:v>
                </c:pt>
                <c:pt idx="1">
                  <c:v>7.6746297338894109</c:v>
                </c:pt>
                <c:pt idx="2">
                  <c:v>7.6746297338894109</c:v>
                </c:pt>
                <c:pt idx="3">
                  <c:v>7.6746297338894109</c:v>
                </c:pt>
                <c:pt idx="4">
                  <c:v>7.6746297338894109</c:v>
                </c:pt>
                <c:pt idx="5">
                  <c:v>7.6746297338894109</c:v>
                </c:pt>
                <c:pt idx="6">
                  <c:v>7.6746297338894109</c:v>
                </c:pt>
                <c:pt idx="7">
                  <c:v>7.6746297338894109</c:v>
                </c:pt>
                <c:pt idx="8">
                  <c:v>7.6746297338894109</c:v>
                </c:pt>
                <c:pt idx="9">
                  <c:v>7.6746297338894109</c:v>
                </c:pt>
                <c:pt idx="10">
                  <c:v>7.6746297338894109</c:v>
                </c:pt>
                <c:pt idx="11">
                  <c:v>7.6746297338894109</c:v>
                </c:pt>
                <c:pt idx="12">
                  <c:v>7.6746297338894109</c:v>
                </c:pt>
                <c:pt idx="13">
                  <c:v>7.6746297338894109</c:v>
                </c:pt>
                <c:pt idx="14">
                  <c:v>5.6746297338894109</c:v>
                </c:pt>
                <c:pt idx="15">
                  <c:v>0.67462973388941094</c:v>
                </c:pt>
                <c:pt idx="16">
                  <c:v>-4.3253702661105891</c:v>
                </c:pt>
                <c:pt idx="17">
                  <c:v>-9.3253702661105891</c:v>
                </c:pt>
                <c:pt idx="18">
                  <c:v>-14.325370266110589</c:v>
                </c:pt>
                <c:pt idx="19">
                  <c:v>-19.325370266110589</c:v>
                </c:pt>
                <c:pt idx="20">
                  <c:v>-24.325370266110589</c:v>
                </c:pt>
                <c:pt idx="21">
                  <c:v>-29.325370266110589</c:v>
                </c:pt>
                <c:pt idx="22">
                  <c:v>-34.325370266110589</c:v>
                </c:pt>
                <c:pt idx="23">
                  <c:v>-39.325370266110589</c:v>
                </c:pt>
                <c:pt idx="24">
                  <c:v>-44.325370266110589</c:v>
                </c:pt>
                <c:pt idx="25">
                  <c:v>-49.325370266110589</c:v>
                </c:pt>
                <c:pt idx="26">
                  <c:v>-54.325370266110589</c:v>
                </c:pt>
                <c:pt idx="27">
                  <c:v>-59.325370266110589</c:v>
                </c:pt>
                <c:pt idx="28">
                  <c:v>-64.325370266110582</c:v>
                </c:pt>
              </c:numCache>
            </c:numRef>
          </c:yVal>
          <c:smooth val="0"/>
          <c:extLst>
            <c:ext xmlns:c16="http://schemas.microsoft.com/office/drawing/2014/chart" uri="{C3380CC4-5D6E-409C-BE32-E72D297353CC}">
              <c16:uniqueId val="{00000002-1069-4AA7-A862-F08B9138091F}"/>
            </c:ext>
          </c:extLst>
        </c:ser>
        <c:dLbls>
          <c:showLegendKey val="0"/>
          <c:showVal val="0"/>
          <c:showCatName val="0"/>
          <c:showSerName val="0"/>
          <c:showPercent val="0"/>
          <c:showBubbleSize val="0"/>
        </c:dLbls>
        <c:axId val="20793487"/>
        <c:axId val="20815951"/>
      </c:scatterChart>
      <c:valAx>
        <c:axId val="20793487"/>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815951"/>
        <c:crosses val="autoZero"/>
        <c:crossBetween val="midCat"/>
      </c:valAx>
      <c:valAx>
        <c:axId val="20815951"/>
        <c:scaling>
          <c:orientation val="minMax"/>
          <c:max val="20"/>
          <c:min val="-20"/>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793487"/>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Covered Put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'20'!$L$23</c:f>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'20'!$B$20:$B$48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'20'!$C$20:$C$48</c:f>
              <c:numCache>
                <c:formatCode>_-* #,##0.00_-;[Red]\(#,##0.00\);_-* "-"_-;_-@_-</c:formatCode>
                <c:ptCount val="29"/>
                <c:pt idx="0">
                  <c:v>9.4822794113231978</c:v>
                </c:pt>
                <c:pt idx="1">
                  <c:v>9.4822794113231978</c:v>
                </c:pt>
                <c:pt idx="2">
                  <c:v>9.4822794113231978</c:v>
                </c:pt>
                <c:pt idx="3">
                  <c:v>9.4822794113231978</c:v>
                </c:pt>
                <c:pt idx="4">
                  <c:v>9.4822794113231978</c:v>
                </c:pt>
                <c:pt idx="5">
                  <c:v>9.4822794113231978</c:v>
                </c:pt>
                <c:pt idx="6">
                  <c:v>9.4822794113231978</c:v>
                </c:pt>
                <c:pt idx="7">
                  <c:v>9.4822794113231978</c:v>
                </c:pt>
                <c:pt idx="8">
                  <c:v>9.4822794113231978</c:v>
                </c:pt>
                <c:pt idx="9">
                  <c:v>9.4822794113231978</c:v>
                </c:pt>
                <c:pt idx="10">
                  <c:v>9.4822794113231978</c:v>
                </c:pt>
                <c:pt idx="11">
                  <c:v>9.4822794113231978</c:v>
                </c:pt>
                <c:pt idx="12">
                  <c:v>9.4822794113231978</c:v>
                </c:pt>
                <c:pt idx="13">
                  <c:v>9.4822794113231978</c:v>
                </c:pt>
                <c:pt idx="14">
                  <c:v>9.4822794113231978</c:v>
                </c:pt>
                <c:pt idx="15">
                  <c:v>4.4822794113231978</c:v>
                </c:pt>
                <c:pt idx="16">
                  <c:v>-0.51772058867680215</c:v>
                </c:pt>
                <c:pt idx="17">
                  <c:v>-5.5177205886768022</c:v>
                </c:pt>
                <c:pt idx="18">
                  <c:v>-10.517720588676802</c:v>
                </c:pt>
                <c:pt idx="19">
                  <c:v>-15.517720588676802</c:v>
                </c:pt>
                <c:pt idx="20">
                  <c:v>-20.517720588676802</c:v>
                </c:pt>
                <c:pt idx="21">
                  <c:v>-25.517720588676802</c:v>
                </c:pt>
                <c:pt idx="22">
                  <c:v>-30.517720588676802</c:v>
                </c:pt>
                <c:pt idx="23">
                  <c:v>-35.517720588676802</c:v>
                </c:pt>
                <c:pt idx="24">
                  <c:v>-40.517720588676802</c:v>
                </c:pt>
                <c:pt idx="25">
                  <c:v>-45.517720588676802</c:v>
                </c:pt>
                <c:pt idx="26">
                  <c:v>-50.517720588676802</c:v>
                </c:pt>
                <c:pt idx="27">
                  <c:v>-55.517720588676802</c:v>
                </c:pt>
                <c:pt idx="28">
                  <c:v>-60.517720588676802</c:v>
                </c:pt>
              </c:numCache>
            </c:numRef>
          </c:val>
          <c:smooth val="0"/>
          <c:extLst>
            <c:ext xmlns:c16="http://schemas.microsoft.com/office/drawing/2014/chart" uri="{C3380CC4-5D6E-409C-BE32-E72D297353CC}">
              <c16:uniqueId val="{00000000-7C15-41AE-BC11-53CDF2513FF6}"/>
            </c:ext>
          </c:extLst>
        </c:ser>
        <c:dLbls>
          <c:showLegendKey val="0"/>
          <c:showVal val="0"/>
          <c:showCatName val="0"/>
          <c:showSerName val="0"/>
          <c:showPercent val="0"/>
          <c:showBubbleSize val="0"/>
        </c:dLbls>
        <c:marker val="1"/>
        <c:smooth val="0"/>
        <c:axId val="424894848"/>
        <c:axId val="424896768"/>
      </c:lineChart>
      <c:catAx>
        <c:axId val="424894848"/>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24896768"/>
        <c:crosses val="autoZero"/>
        <c:auto val="1"/>
        <c:lblAlgn val="ctr"/>
        <c:lblOffset val="100"/>
        <c:noMultiLvlLbl val="0"/>
      </c:catAx>
      <c:valAx>
        <c:axId val="42489676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248948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Put Backspread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'21'!$C$19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'21'!$C$20:$C$48</c:f>
              <c:numCache>
                <c:formatCode>_-* #,##0.00_-;[Red]\(#,##0.00\);_-* "-"_-;_-@_-</c:formatCode>
                <c:ptCount val="29"/>
                <c:pt idx="0">
                  <c:v>58.100892331207454</c:v>
                </c:pt>
                <c:pt idx="1">
                  <c:v>53.100892331207454</c:v>
                </c:pt>
                <c:pt idx="2">
                  <c:v>48.100892331207454</c:v>
                </c:pt>
                <c:pt idx="3">
                  <c:v>43.100892331207454</c:v>
                </c:pt>
                <c:pt idx="4">
                  <c:v>38.100892331207454</c:v>
                </c:pt>
                <c:pt idx="5">
                  <c:v>33.100892331207454</c:v>
                </c:pt>
                <c:pt idx="6">
                  <c:v>28.100892331207461</c:v>
                </c:pt>
                <c:pt idx="7">
                  <c:v>23.100892331207461</c:v>
                </c:pt>
                <c:pt idx="8">
                  <c:v>18.100892331207461</c:v>
                </c:pt>
                <c:pt idx="9">
                  <c:v>13.100892331207461</c:v>
                </c:pt>
                <c:pt idx="10">
                  <c:v>8.1008923312074614</c:v>
                </c:pt>
                <c:pt idx="11">
                  <c:v>3.1008923312074614</c:v>
                </c:pt>
                <c:pt idx="12">
                  <c:v>-1.8991076687925386</c:v>
                </c:pt>
                <c:pt idx="13">
                  <c:v>-6.8991076687925386</c:v>
                </c:pt>
                <c:pt idx="14">
                  <c:v>-7.8991076687925386</c:v>
                </c:pt>
                <c:pt idx="15">
                  <c:v>-5.8991076687925386</c:v>
                </c:pt>
                <c:pt idx="16">
                  <c:v>-5.8991076687925386</c:v>
                </c:pt>
                <c:pt idx="17">
                  <c:v>-5.8991076687925386</c:v>
                </c:pt>
                <c:pt idx="18">
                  <c:v>-5.8991076687925386</c:v>
                </c:pt>
                <c:pt idx="19">
                  <c:v>-5.8991076687925386</c:v>
                </c:pt>
                <c:pt idx="20">
                  <c:v>-5.8991076687925386</c:v>
                </c:pt>
                <c:pt idx="21">
                  <c:v>-5.8991076687925386</c:v>
                </c:pt>
                <c:pt idx="22">
                  <c:v>-5.8991076687925386</c:v>
                </c:pt>
                <c:pt idx="23">
                  <c:v>-5.8991076687925386</c:v>
                </c:pt>
                <c:pt idx="24">
                  <c:v>-5.8991076687925386</c:v>
                </c:pt>
                <c:pt idx="25">
                  <c:v>-5.8991076687925386</c:v>
                </c:pt>
                <c:pt idx="26">
                  <c:v>-5.8991076687925386</c:v>
                </c:pt>
                <c:pt idx="27">
                  <c:v>-5.8991076687925386</c:v>
                </c:pt>
                <c:pt idx="28">
                  <c:v>-5.8991076687925386</c:v>
                </c:pt>
              </c:numCache>
            </c:numRef>
          </c:val>
          <c:smooth val="0"/>
          <c:extLst>
            <c:ext xmlns:c16="http://schemas.microsoft.com/office/drawing/2014/chart" uri="{C3380CC4-5D6E-409C-BE32-E72D297353CC}">
              <c16:uniqueId val="{00000000-0E9C-4966-A4C4-31117D78133C}"/>
            </c:ext>
          </c:extLst>
        </c:ser>
        <c:dLbls>
          <c:showLegendKey val="0"/>
          <c:showVal val="0"/>
          <c:showCatName val="0"/>
          <c:showSerName val="0"/>
          <c:showPercent val="0"/>
          <c:showBubbleSize val="0"/>
        </c:dLbls>
        <c:marker val="1"/>
        <c:smooth val="0"/>
        <c:axId val="436979968"/>
        <c:axId val="436986240"/>
      </c:lineChart>
      <c:catAx>
        <c:axId val="436979968"/>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6986240"/>
        <c:crosses val="autoZero"/>
        <c:auto val="1"/>
        <c:lblAlgn val="ctr"/>
        <c:lblOffset val="100"/>
        <c:noMultiLvlLbl val="0"/>
      </c:catAx>
      <c:valAx>
        <c:axId val="436986240"/>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697996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Short Call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'4'!$B$20:$B$48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'4'!$C$20:$C$48</c:f>
              <c:numCache>
                <c:formatCode>_-* #,##0.00_-;[Red]\(#,##0.00\);_-* "-"_-;_-@_-</c:formatCode>
                <c:ptCount val="29"/>
                <c:pt idx="0">
                  <c:v>7.6746297338894109</c:v>
                </c:pt>
                <c:pt idx="1">
                  <c:v>7.6746297338894109</c:v>
                </c:pt>
                <c:pt idx="2">
                  <c:v>7.6746297338894109</c:v>
                </c:pt>
                <c:pt idx="3">
                  <c:v>7.6746297338894109</c:v>
                </c:pt>
                <c:pt idx="4">
                  <c:v>7.6746297338894109</c:v>
                </c:pt>
                <c:pt idx="5">
                  <c:v>7.6746297338894109</c:v>
                </c:pt>
                <c:pt idx="6">
                  <c:v>7.6746297338894109</c:v>
                </c:pt>
                <c:pt idx="7">
                  <c:v>7.6746297338894109</c:v>
                </c:pt>
                <c:pt idx="8">
                  <c:v>7.6746297338894109</c:v>
                </c:pt>
                <c:pt idx="9">
                  <c:v>7.6746297338894109</c:v>
                </c:pt>
                <c:pt idx="10">
                  <c:v>7.6746297338894109</c:v>
                </c:pt>
                <c:pt idx="11">
                  <c:v>7.6746297338894109</c:v>
                </c:pt>
                <c:pt idx="12">
                  <c:v>7.6746297338894109</c:v>
                </c:pt>
                <c:pt idx="13">
                  <c:v>7.6746297338894109</c:v>
                </c:pt>
                <c:pt idx="14">
                  <c:v>5.6746297338894109</c:v>
                </c:pt>
                <c:pt idx="15">
                  <c:v>0.67462973388941094</c:v>
                </c:pt>
                <c:pt idx="16">
                  <c:v>-4.3253702661105891</c:v>
                </c:pt>
                <c:pt idx="17">
                  <c:v>-9.3253702661105891</c:v>
                </c:pt>
                <c:pt idx="18">
                  <c:v>-14.325370266110589</c:v>
                </c:pt>
                <c:pt idx="19">
                  <c:v>-19.325370266110589</c:v>
                </c:pt>
                <c:pt idx="20">
                  <c:v>-24.325370266110589</c:v>
                </c:pt>
                <c:pt idx="21">
                  <c:v>-29.325370266110589</c:v>
                </c:pt>
                <c:pt idx="22">
                  <c:v>-34.325370266110589</c:v>
                </c:pt>
                <c:pt idx="23">
                  <c:v>-39.325370266110589</c:v>
                </c:pt>
                <c:pt idx="24">
                  <c:v>-44.325370266110589</c:v>
                </c:pt>
                <c:pt idx="25">
                  <c:v>-49.325370266110589</c:v>
                </c:pt>
                <c:pt idx="26">
                  <c:v>-54.325370266110589</c:v>
                </c:pt>
                <c:pt idx="27">
                  <c:v>-59.325370266110589</c:v>
                </c:pt>
                <c:pt idx="28">
                  <c:v>-64.325370266110582</c:v>
                </c:pt>
              </c:numCache>
            </c:numRef>
          </c:yVal>
          <c:smooth val="0"/>
          <c:extLst>
            <c:ext xmlns:c16="http://schemas.microsoft.com/office/drawing/2014/chart" uri="{C3380CC4-5D6E-409C-BE32-E72D297353CC}">
              <c16:uniqueId val="{00000000-88BE-4D46-84E2-8ECDBB9CB492}"/>
            </c:ext>
          </c:extLst>
        </c:ser>
        <c:dLbls>
          <c:showLegendKey val="0"/>
          <c:showVal val="0"/>
          <c:showCatName val="0"/>
          <c:showSerName val="0"/>
          <c:showPercent val="0"/>
          <c:showBubbleSize val="0"/>
        </c:dLbls>
        <c:axId val="1083190063"/>
        <c:axId val="1083183407"/>
      </c:scatterChart>
      <c:valAx>
        <c:axId val="1083190063"/>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183407"/>
        <c:crosses val="autoZero"/>
        <c:crossBetween val="midCat"/>
      </c:valAx>
      <c:valAx>
        <c:axId val="1083183407"/>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19006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Bear Put 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'22'!$C$19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'22'!$B$20:$B$48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'22'!$C$20:$C$48</c:f>
              <c:numCache>
                <c:formatCode>_-* #,##0.00_-;[Red]\(#,##0.00\);_-* "-"_-;_-@_-</c:formatCode>
                <c:ptCount val="29"/>
                <c:pt idx="0">
                  <c:v>1.587102991368134</c:v>
                </c:pt>
                <c:pt idx="1">
                  <c:v>1.587102991368134</c:v>
                </c:pt>
                <c:pt idx="2">
                  <c:v>1.587102991368134</c:v>
                </c:pt>
                <c:pt idx="3">
                  <c:v>1.587102991368134</c:v>
                </c:pt>
                <c:pt idx="4">
                  <c:v>1.587102991368134</c:v>
                </c:pt>
                <c:pt idx="5">
                  <c:v>1.587102991368134</c:v>
                </c:pt>
                <c:pt idx="6">
                  <c:v>1.5871029913681305</c:v>
                </c:pt>
                <c:pt idx="7">
                  <c:v>1.5871029913681305</c:v>
                </c:pt>
                <c:pt idx="8">
                  <c:v>1.5871029913681305</c:v>
                </c:pt>
                <c:pt idx="9">
                  <c:v>1.5871029913681305</c:v>
                </c:pt>
                <c:pt idx="10">
                  <c:v>1.5871029913681305</c:v>
                </c:pt>
                <c:pt idx="11">
                  <c:v>1.5871029913681305</c:v>
                </c:pt>
                <c:pt idx="12">
                  <c:v>1.5871029913681305</c:v>
                </c:pt>
                <c:pt idx="13">
                  <c:v>1.5871029913681305</c:v>
                </c:pt>
                <c:pt idx="14">
                  <c:v>-0.41289700863186951</c:v>
                </c:pt>
                <c:pt idx="15">
                  <c:v>-2.4128970086318695</c:v>
                </c:pt>
                <c:pt idx="16">
                  <c:v>-2.4128970086318695</c:v>
                </c:pt>
                <c:pt idx="17">
                  <c:v>-2.4128970086318695</c:v>
                </c:pt>
                <c:pt idx="18">
                  <c:v>-2.4128970086318695</c:v>
                </c:pt>
                <c:pt idx="19">
                  <c:v>-2.4128970086318695</c:v>
                </c:pt>
                <c:pt idx="20">
                  <c:v>-2.4128970086318695</c:v>
                </c:pt>
                <c:pt idx="21">
                  <c:v>-2.4128970086318695</c:v>
                </c:pt>
                <c:pt idx="22">
                  <c:v>-2.4128970086318695</c:v>
                </c:pt>
                <c:pt idx="23">
                  <c:v>-2.4128970086318695</c:v>
                </c:pt>
                <c:pt idx="24">
                  <c:v>-2.4128970086318695</c:v>
                </c:pt>
                <c:pt idx="25">
                  <c:v>-2.4128970086318695</c:v>
                </c:pt>
                <c:pt idx="26">
                  <c:v>-2.4128970086318695</c:v>
                </c:pt>
                <c:pt idx="27">
                  <c:v>-2.4128970086318695</c:v>
                </c:pt>
                <c:pt idx="28">
                  <c:v>-2.4128970086318695</c:v>
                </c:pt>
              </c:numCache>
            </c:numRef>
          </c:val>
          <c:smooth val="0"/>
          <c:extLst>
            <c:ext xmlns:c16="http://schemas.microsoft.com/office/drawing/2014/chart" uri="{C3380CC4-5D6E-409C-BE32-E72D297353CC}">
              <c16:uniqueId val="{00000000-CD5C-4412-B385-EFC55D572092}"/>
            </c:ext>
          </c:extLst>
        </c:ser>
        <c:dLbls>
          <c:showLegendKey val="0"/>
          <c:showVal val="0"/>
          <c:showCatName val="0"/>
          <c:showSerName val="0"/>
          <c:showPercent val="0"/>
          <c:showBubbleSize val="0"/>
        </c:dLbls>
        <c:marker val="1"/>
        <c:smooth val="0"/>
        <c:axId val="448832256"/>
        <c:axId val="448834176"/>
      </c:lineChart>
      <c:catAx>
        <c:axId val="448832256"/>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834176"/>
        <c:crosses val="autoZero"/>
        <c:auto val="1"/>
        <c:lblAlgn val="ctr"/>
        <c:lblOffset val="100"/>
        <c:noMultiLvlLbl val="0"/>
      </c:catAx>
      <c:valAx>
        <c:axId val="448834176"/>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8322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Bear Call Spread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'23'!$C$19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'23'!$C$20:$C$48</c:f>
              <c:numCache>
                <c:formatCode>_-* #,##0.00_-;[Red]\(#,##0.00\);_-* "-"_-;_-@_-</c:formatCode>
                <c:ptCount val="29"/>
                <c:pt idx="0">
                  <c:v>1.5473023263648074</c:v>
                </c:pt>
                <c:pt idx="1">
                  <c:v>1.5473023263648074</c:v>
                </c:pt>
                <c:pt idx="2">
                  <c:v>1.5473023263648074</c:v>
                </c:pt>
                <c:pt idx="3">
                  <c:v>1.5473023263648074</c:v>
                </c:pt>
                <c:pt idx="4">
                  <c:v>1.5473023263648074</c:v>
                </c:pt>
                <c:pt idx="5">
                  <c:v>1.5473023263648074</c:v>
                </c:pt>
                <c:pt idx="6">
                  <c:v>1.5473023263648074</c:v>
                </c:pt>
                <c:pt idx="7">
                  <c:v>1.5473023263648074</c:v>
                </c:pt>
                <c:pt idx="8">
                  <c:v>1.5473023263648074</c:v>
                </c:pt>
                <c:pt idx="9">
                  <c:v>1.5473023263648074</c:v>
                </c:pt>
                <c:pt idx="10">
                  <c:v>1.5473023263648074</c:v>
                </c:pt>
                <c:pt idx="11">
                  <c:v>1.5473023263648074</c:v>
                </c:pt>
                <c:pt idx="12">
                  <c:v>1.5473023263648074</c:v>
                </c:pt>
                <c:pt idx="13">
                  <c:v>1.5473023263648074</c:v>
                </c:pt>
                <c:pt idx="14">
                  <c:v>-0.45269767363519264</c:v>
                </c:pt>
                <c:pt idx="15">
                  <c:v>-2.4526976736351926</c:v>
                </c:pt>
                <c:pt idx="16">
                  <c:v>-2.4526976736351926</c:v>
                </c:pt>
                <c:pt idx="17">
                  <c:v>-2.4526976736351926</c:v>
                </c:pt>
                <c:pt idx="18">
                  <c:v>-2.4526976736351926</c:v>
                </c:pt>
                <c:pt idx="19">
                  <c:v>-2.4526976736351926</c:v>
                </c:pt>
                <c:pt idx="20">
                  <c:v>-2.4526976736351926</c:v>
                </c:pt>
                <c:pt idx="21">
                  <c:v>-2.4526976736351926</c:v>
                </c:pt>
                <c:pt idx="22">
                  <c:v>-2.4526976736351926</c:v>
                </c:pt>
                <c:pt idx="23">
                  <c:v>-2.4526976736351926</c:v>
                </c:pt>
                <c:pt idx="24">
                  <c:v>-2.4526976736351926</c:v>
                </c:pt>
                <c:pt idx="25">
                  <c:v>-2.4526976736351926</c:v>
                </c:pt>
                <c:pt idx="26">
                  <c:v>-2.4526976736351926</c:v>
                </c:pt>
                <c:pt idx="27">
                  <c:v>-2.4526976736351926</c:v>
                </c:pt>
                <c:pt idx="28">
                  <c:v>-2.4526976736351855</c:v>
                </c:pt>
              </c:numCache>
            </c:numRef>
          </c:val>
          <c:smooth val="0"/>
          <c:extLst>
            <c:ext xmlns:c16="http://schemas.microsoft.com/office/drawing/2014/chart" uri="{C3380CC4-5D6E-409C-BE32-E72D297353CC}">
              <c16:uniqueId val="{00000000-123F-48CC-9C70-E06BF9A0627C}"/>
            </c:ext>
          </c:extLst>
        </c:ser>
        <c:dLbls>
          <c:showLegendKey val="0"/>
          <c:showVal val="0"/>
          <c:showCatName val="0"/>
          <c:showSerName val="0"/>
          <c:showPercent val="0"/>
          <c:showBubbleSize val="0"/>
        </c:dLbls>
        <c:marker val="1"/>
        <c:smooth val="0"/>
        <c:axId val="460749824"/>
        <c:axId val="460784768"/>
      </c:lineChart>
      <c:catAx>
        <c:axId val="460749824"/>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0784768"/>
        <c:crosses val="autoZero"/>
        <c:auto val="1"/>
        <c:lblAlgn val="ctr"/>
        <c:lblOffset val="100"/>
        <c:noMultiLvlLbl val="0"/>
      </c:catAx>
      <c:valAx>
        <c:axId val="46078476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07498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Protective Call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'24'!$C$19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'24'!$B$20:$B$48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'24'!$C$20:$C$48</c:f>
              <c:numCache>
                <c:formatCode>_-* #,##0.00_-;[Red]\(#,##0.00\);_-* "-"_-;_-@_-</c:formatCode>
                <c:ptCount val="29"/>
                <c:pt idx="0">
                  <c:v>63.135195199710125</c:v>
                </c:pt>
                <c:pt idx="1">
                  <c:v>58.135195199710125</c:v>
                </c:pt>
                <c:pt idx="2">
                  <c:v>53.135195199710125</c:v>
                </c:pt>
                <c:pt idx="3">
                  <c:v>48.135195199710125</c:v>
                </c:pt>
                <c:pt idx="4">
                  <c:v>43.135195199710125</c:v>
                </c:pt>
                <c:pt idx="5">
                  <c:v>38.135195199710125</c:v>
                </c:pt>
                <c:pt idx="6">
                  <c:v>33.135195199710125</c:v>
                </c:pt>
                <c:pt idx="7">
                  <c:v>28.135195199710129</c:v>
                </c:pt>
                <c:pt idx="8">
                  <c:v>23.135195199710129</c:v>
                </c:pt>
                <c:pt idx="9">
                  <c:v>18.135195199710129</c:v>
                </c:pt>
                <c:pt idx="10">
                  <c:v>13.135195199710129</c:v>
                </c:pt>
                <c:pt idx="11">
                  <c:v>8.1351951997101288</c:v>
                </c:pt>
                <c:pt idx="12">
                  <c:v>3.1351951997101288</c:v>
                </c:pt>
                <c:pt idx="13">
                  <c:v>-1.8648048002898712</c:v>
                </c:pt>
                <c:pt idx="14">
                  <c:v>-6.8648048002898712</c:v>
                </c:pt>
                <c:pt idx="15">
                  <c:v>-6.8648048002898712</c:v>
                </c:pt>
                <c:pt idx="16">
                  <c:v>-6.8648048002898712</c:v>
                </c:pt>
                <c:pt idx="17">
                  <c:v>-6.8648048002898712</c:v>
                </c:pt>
                <c:pt idx="18">
                  <c:v>-6.8648048002898712</c:v>
                </c:pt>
                <c:pt idx="19">
                  <c:v>-6.8648048002898712</c:v>
                </c:pt>
                <c:pt idx="20">
                  <c:v>-6.8648048002898712</c:v>
                </c:pt>
                <c:pt idx="21">
                  <c:v>-6.8648048002898712</c:v>
                </c:pt>
                <c:pt idx="22">
                  <c:v>-6.8648048002898747</c:v>
                </c:pt>
                <c:pt idx="23">
                  <c:v>-6.8648048002898747</c:v>
                </c:pt>
                <c:pt idx="24">
                  <c:v>-6.8648048002898747</c:v>
                </c:pt>
                <c:pt idx="25">
                  <c:v>-6.8648048002898747</c:v>
                </c:pt>
                <c:pt idx="26">
                  <c:v>-6.8648048002898747</c:v>
                </c:pt>
                <c:pt idx="27">
                  <c:v>-6.8648048002898747</c:v>
                </c:pt>
                <c:pt idx="28">
                  <c:v>-6.8648048002898747</c:v>
                </c:pt>
              </c:numCache>
            </c:numRef>
          </c:val>
          <c:smooth val="0"/>
          <c:extLst>
            <c:ext xmlns:c16="http://schemas.microsoft.com/office/drawing/2014/chart" uri="{C3380CC4-5D6E-409C-BE32-E72D297353CC}">
              <c16:uniqueId val="{00000000-AE03-418E-8927-11D818EB3F8D}"/>
            </c:ext>
          </c:extLst>
        </c:ser>
        <c:dLbls>
          <c:showLegendKey val="0"/>
          <c:showVal val="0"/>
          <c:showCatName val="0"/>
          <c:showSerName val="0"/>
          <c:showPercent val="0"/>
          <c:showBubbleSize val="0"/>
        </c:dLbls>
        <c:marker val="1"/>
        <c:smooth val="0"/>
        <c:axId val="472827392"/>
        <c:axId val="472829312"/>
      </c:lineChart>
      <c:catAx>
        <c:axId val="47282739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2829312"/>
        <c:crosses val="autoZero"/>
        <c:auto val="1"/>
        <c:lblAlgn val="ctr"/>
        <c:lblOffset val="100"/>
        <c:noMultiLvlLbl val="0"/>
      </c:catAx>
      <c:valAx>
        <c:axId val="47282931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28273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Condor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'25'!$C$19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'25'!$B$20:$B$48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'25'!$C$20:$C$48</c:f>
              <c:numCache>
                <c:formatCode>_-* #,##0.00_-;[Red]\(#,##0.00\);_-* "-"_-;_-@_-</c:formatCode>
                <c:ptCount val="29"/>
                <c:pt idx="0">
                  <c:v>-0.21804285858598504</c:v>
                </c:pt>
                <c:pt idx="1">
                  <c:v>-0.21804285858598504</c:v>
                </c:pt>
                <c:pt idx="2">
                  <c:v>-0.21804285858598504</c:v>
                </c:pt>
                <c:pt idx="3">
                  <c:v>-0.21804285858598504</c:v>
                </c:pt>
                <c:pt idx="4">
                  <c:v>-0.21804285858598504</c:v>
                </c:pt>
                <c:pt idx="5">
                  <c:v>-0.21804285858598504</c:v>
                </c:pt>
                <c:pt idx="6">
                  <c:v>-0.21804285858598504</c:v>
                </c:pt>
                <c:pt idx="7">
                  <c:v>-0.21804285858598504</c:v>
                </c:pt>
                <c:pt idx="8">
                  <c:v>-0.21804285858598504</c:v>
                </c:pt>
                <c:pt idx="9">
                  <c:v>-0.21804285858598504</c:v>
                </c:pt>
                <c:pt idx="10">
                  <c:v>-0.21804285858598504</c:v>
                </c:pt>
                <c:pt idx="11">
                  <c:v>-0.21804285858598504</c:v>
                </c:pt>
                <c:pt idx="12">
                  <c:v>-0.21804285858598504</c:v>
                </c:pt>
                <c:pt idx="13">
                  <c:v>-0.21804285858598504</c:v>
                </c:pt>
                <c:pt idx="14">
                  <c:v>1.781957141414015</c:v>
                </c:pt>
                <c:pt idx="15">
                  <c:v>-0.21804285858598593</c:v>
                </c:pt>
                <c:pt idx="16">
                  <c:v>-0.21804285858598593</c:v>
                </c:pt>
                <c:pt idx="17">
                  <c:v>-0.21804285858598504</c:v>
                </c:pt>
                <c:pt idx="18">
                  <c:v>-0.2180428585859886</c:v>
                </c:pt>
                <c:pt idx="19">
                  <c:v>-0.2180428585859886</c:v>
                </c:pt>
                <c:pt idx="20">
                  <c:v>-0.2180428585859886</c:v>
                </c:pt>
                <c:pt idx="21">
                  <c:v>-0.2180428585859886</c:v>
                </c:pt>
                <c:pt idx="22">
                  <c:v>-0.2180428585859957</c:v>
                </c:pt>
                <c:pt idx="23">
                  <c:v>-0.2180428585859957</c:v>
                </c:pt>
                <c:pt idx="24">
                  <c:v>-0.2180428585859957</c:v>
                </c:pt>
                <c:pt idx="25">
                  <c:v>-0.2180428585859957</c:v>
                </c:pt>
                <c:pt idx="26">
                  <c:v>-0.2180428585859957</c:v>
                </c:pt>
                <c:pt idx="27">
                  <c:v>-0.2180428585859957</c:v>
                </c:pt>
                <c:pt idx="28">
                  <c:v>-0.2180428585859886</c:v>
                </c:pt>
              </c:numCache>
            </c:numRef>
          </c:val>
          <c:smooth val="0"/>
          <c:extLst>
            <c:ext xmlns:c16="http://schemas.microsoft.com/office/drawing/2014/chart" uri="{C3380CC4-5D6E-409C-BE32-E72D297353CC}">
              <c16:uniqueId val="{00000000-58C4-4194-BD97-56DE76CAF1C5}"/>
            </c:ext>
          </c:extLst>
        </c:ser>
        <c:dLbls>
          <c:showLegendKey val="0"/>
          <c:showVal val="0"/>
          <c:showCatName val="0"/>
          <c:showSerName val="0"/>
          <c:showPercent val="0"/>
          <c:showBubbleSize val="0"/>
        </c:dLbls>
        <c:marker val="1"/>
        <c:smooth val="0"/>
        <c:axId val="496640000"/>
        <c:axId val="496641920"/>
      </c:lineChart>
      <c:catAx>
        <c:axId val="496640000"/>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641920"/>
        <c:crosses val="autoZero"/>
        <c:auto val="1"/>
        <c:lblAlgn val="ctr"/>
        <c:lblOffset val="100"/>
        <c:noMultiLvlLbl val="0"/>
      </c:catAx>
      <c:valAx>
        <c:axId val="496641920"/>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966400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Call Butterfly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'26'!$C$19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'26'!$B$20:$B$48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'26'!$C$20:$C$48</c:f>
              <c:numCache>
                <c:formatCode>_-* #,##0.00_-;[Red]\(#,##0.00\);_-* "-"_-;_-@_-</c:formatCode>
                <c:ptCount val="29"/>
                <c:pt idx="0">
                  <c:v>-7.2347540834272195E-2</c:v>
                </c:pt>
                <c:pt idx="1">
                  <c:v>-7.2347540834272195E-2</c:v>
                </c:pt>
                <c:pt idx="2">
                  <c:v>-7.2347540834272195E-2</c:v>
                </c:pt>
                <c:pt idx="3">
                  <c:v>-7.2347540834272195E-2</c:v>
                </c:pt>
                <c:pt idx="4">
                  <c:v>-7.2347540834272195E-2</c:v>
                </c:pt>
                <c:pt idx="5">
                  <c:v>-7.2347540834272195E-2</c:v>
                </c:pt>
                <c:pt idx="6">
                  <c:v>-7.2347540834272195E-2</c:v>
                </c:pt>
                <c:pt idx="7">
                  <c:v>-7.2347540834272195E-2</c:v>
                </c:pt>
                <c:pt idx="8">
                  <c:v>-7.2347540834272195E-2</c:v>
                </c:pt>
                <c:pt idx="9">
                  <c:v>-7.2347540834272195E-2</c:v>
                </c:pt>
                <c:pt idx="10">
                  <c:v>-7.2347540834272195E-2</c:v>
                </c:pt>
                <c:pt idx="11">
                  <c:v>-7.2347540834272195E-2</c:v>
                </c:pt>
                <c:pt idx="12">
                  <c:v>-7.2347540834272195E-2</c:v>
                </c:pt>
                <c:pt idx="13">
                  <c:v>-7.2347540834272195E-2</c:v>
                </c:pt>
                <c:pt idx="14">
                  <c:v>1.9276524591657278</c:v>
                </c:pt>
                <c:pt idx="15">
                  <c:v>-7.2347540834272195E-2</c:v>
                </c:pt>
                <c:pt idx="16">
                  <c:v>-7.2347540834272195E-2</c:v>
                </c:pt>
                <c:pt idx="17">
                  <c:v>-7.2347540834272195E-2</c:v>
                </c:pt>
                <c:pt idx="18">
                  <c:v>-7.2347540834272195E-2</c:v>
                </c:pt>
                <c:pt idx="19">
                  <c:v>-7.2347540834272195E-2</c:v>
                </c:pt>
                <c:pt idx="20">
                  <c:v>-7.2347540834272195E-2</c:v>
                </c:pt>
                <c:pt idx="21">
                  <c:v>-7.2347540834272195E-2</c:v>
                </c:pt>
                <c:pt idx="22">
                  <c:v>-7.2347540834272195E-2</c:v>
                </c:pt>
                <c:pt idx="23">
                  <c:v>-7.2347540834272195E-2</c:v>
                </c:pt>
                <c:pt idx="24">
                  <c:v>-7.2347540834272195E-2</c:v>
                </c:pt>
                <c:pt idx="25">
                  <c:v>-7.2347540834272195E-2</c:v>
                </c:pt>
                <c:pt idx="26">
                  <c:v>-7.2347540834272195E-2</c:v>
                </c:pt>
                <c:pt idx="27">
                  <c:v>-7.2347540834272195E-2</c:v>
                </c:pt>
                <c:pt idx="28">
                  <c:v>-7.2347540834272195E-2</c:v>
                </c:pt>
              </c:numCache>
            </c:numRef>
          </c:val>
          <c:smooth val="0"/>
          <c:extLst>
            <c:ext xmlns:c16="http://schemas.microsoft.com/office/drawing/2014/chart" uri="{C3380CC4-5D6E-409C-BE32-E72D297353CC}">
              <c16:uniqueId val="{00000000-BFFC-48CA-9F0B-1F68A6E70EF6}"/>
            </c:ext>
          </c:extLst>
        </c:ser>
        <c:dLbls>
          <c:showLegendKey val="0"/>
          <c:showVal val="0"/>
          <c:showCatName val="0"/>
          <c:showSerName val="0"/>
          <c:showPercent val="0"/>
          <c:showBubbleSize val="0"/>
        </c:dLbls>
        <c:marker val="1"/>
        <c:smooth val="0"/>
        <c:axId val="484837632"/>
        <c:axId val="484856192"/>
      </c:lineChart>
      <c:catAx>
        <c:axId val="48483763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84856192"/>
        <c:crosses val="autoZero"/>
        <c:auto val="1"/>
        <c:lblAlgn val="ctr"/>
        <c:lblOffset val="100"/>
        <c:noMultiLvlLbl val="0"/>
      </c:catAx>
      <c:valAx>
        <c:axId val="48485619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84837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Put Butterfly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'27'!$C$19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'27'!$C$20:$C$48</c:f>
              <c:numCache>
                <c:formatCode>_-* #,##0.00_-;[Red]\(#,##0.00\);_-* "-"_-;_-@_-</c:formatCode>
                <c:ptCount val="29"/>
                <c:pt idx="0">
                  <c:v>-7.2347540834286406E-2</c:v>
                </c:pt>
                <c:pt idx="1">
                  <c:v>-7.2347540834286406E-2</c:v>
                </c:pt>
                <c:pt idx="2">
                  <c:v>-7.2347540834286406E-2</c:v>
                </c:pt>
                <c:pt idx="3">
                  <c:v>-7.2347540834286406E-2</c:v>
                </c:pt>
                <c:pt idx="4">
                  <c:v>-7.2347540834286406E-2</c:v>
                </c:pt>
                <c:pt idx="5">
                  <c:v>-7.2347540834286406E-2</c:v>
                </c:pt>
                <c:pt idx="6">
                  <c:v>-7.2347540834286406E-2</c:v>
                </c:pt>
                <c:pt idx="7">
                  <c:v>-7.2347540834286406E-2</c:v>
                </c:pt>
                <c:pt idx="8">
                  <c:v>-7.2347540834286406E-2</c:v>
                </c:pt>
                <c:pt idx="9">
                  <c:v>-7.2347540834289958E-2</c:v>
                </c:pt>
                <c:pt idx="10">
                  <c:v>-7.2347540834289958E-2</c:v>
                </c:pt>
                <c:pt idx="11">
                  <c:v>-7.2347540834289958E-2</c:v>
                </c:pt>
                <c:pt idx="12">
                  <c:v>-7.2347540834289958E-2</c:v>
                </c:pt>
                <c:pt idx="13">
                  <c:v>-7.2347540834289958E-2</c:v>
                </c:pt>
                <c:pt idx="14">
                  <c:v>1.92765245916571</c:v>
                </c:pt>
                <c:pt idx="15">
                  <c:v>-7.2347540834289958E-2</c:v>
                </c:pt>
                <c:pt idx="16">
                  <c:v>-7.2347540834289958E-2</c:v>
                </c:pt>
                <c:pt idx="17">
                  <c:v>-7.2347540834289958E-2</c:v>
                </c:pt>
                <c:pt idx="18">
                  <c:v>-7.2347540834289958E-2</c:v>
                </c:pt>
                <c:pt idx="19">
                  <c:v>-7.2347540834289958E-2</c:v>
                </c:pt>
                <c:pt idx="20">
                  <c:v>-7.2347540834289958E-2</c:v>
                </c:pt>
                <c:pt idx="21">
                  <c:v>-7.2347540834289958E-2</c:v>
                </c:pt>
                <c:pt idx="22">
                  <c:v>-7.2347540834289958E-2</c:v>
                </c:pt>
                <c:pt idx="23">
                  <c:v>-7.2347540834289958E-2</c:v>
                </c:pt>
                <c:pt idx="24">
                  <c:v>-7.2347540834289958E-2</c:v>
                </c:pt>
                <c:pt idx="25">
                  <c:v>-7.2347540834289958E-2</c:v>
                </c:pt>
                <c:pt idx="26">
                  <c:v>-7.2347540834289958E-2</c:v>
                </c:pt>
                <c:pt idx="27">
                  <c:v>-7.2347540834289958E-2</c:v>
                </c:pt>
                <c:pt idx="28">
                  <c:v>-7.2347540834289958E-2</c:v>
                </c:pt>
              </c:numCache>
            </c:numRef>
          </c:val>
          <c:smooth val="0"/>
          <c:extLst>
            <c:ext xmlns:c16="http://schemas.microsoft.com/office/drawing/2014/chart" uri="{C3380CC4-5D6E-409C-BE32-E72D297353CC}">
              <c16:uniqueId val="{00000000-47CC-4DD2-A1B0-E54206E66555}"/>
            </c:ext>
          </c:extLst>
        </c:ser>
        <c:dLbls>
          <c:showLegendKey val="0"/>
          <c:showVal val="0"/>
          <c:showCatName val="0"/>
          <c:showSerName val="0"/>
          <c:showPercent val="0"/>
          <c:showBubbleSize val="0"/>
        </c:dLbls>
        <c:marker val="1"/>
        <c:smooth val="0"/>
        <c:axId val="520508160"/>
        <c:axId val="520510080"/>
      </c:lineChart>
      <c:catAx>
        <c:axId val="520508160"/>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20510080"/>
        <c:crosses val="autoZero"/>
        <c:auto val="1"/>
        <c:lblAlgn val="ctr"/>
        <c:lblOffset val="100"/>
        <c:noMultiLvlLbl val="0"/>
      </c:catAx>
      <c:valAx>
        <c:axId val="520510080"/>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205081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Call Ladder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'28'!$C$19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'28'!$B$20:$B$48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'28'!$C$20:$C$48</c:f>
              <c:numCache>
                <c:formatCode>_-* #,##0.00_-;[Red]\(#,##0.00\);_-* "-"_-;_-@_-</c:formatCode>
                <c:ptCount val="29"/>
                <c:pt idx="0">
                  <c:v>5.3175024739250638</c:v>
                </c:pt>
                <c:pt idx="1">
                  <c:v>5.3175024739250638</c:v>
                </c:pt>
                <c:pt idx="2">
                  <c:v>5.3175024739250638</c:v>
                </c:pt>
                <c:pt idx="3">
                  <c:v>5.3175024739250638</c:v>
                </c:pt>
                <c:pt idx="4">
                  <c:v>5.3175024739250638</c:v>
                </c:pt>
                <c:pt idx="5">
                  <c:v>5.3175024739250638</c:v>
                </c:pt>
                <c:pt idx="6">
                  <c:v>5.3175024739250638</c:v>
                </c:pt>
                <c:pt idx="7">
                  <c:v>5.3175024739250638</c:v>
                </c:pt>
                <c:pt idx="8">
                  <c:v>5.3175024739250638</c:v>
                </c:pt>
                <c:pt idx="9">
                  <c:v>5.3175024739250638</c:v>
                </c:pt>
                <c:pt idx="10">
                  <c:v>5.3175024739250638</c:v>
                </c:pt>
                <c:pt idx="11">
                  <c:v>5.3175024739250638</c:v>
                </c:pt>
                <c:pt idx="12">
                  <c:v>5.3175024739250638</c:v>
                </c:pt>
                <c:pt idx="13">
                  <c:v>5.3175024739250638</c:v>
                </c:pt>
                <c:pt idx="14">
                  <c:v>7.3175024739250638</c:v>
                </c:pt>
                <c:pt idx="15">
                  <c:v>4.3175024739250638</c:v>
                </c:pt>
                <c:pt idx="16">
                  <c:v>-0.68249752607493619</c:v>
                </c:pt>
                <c:pt idx="17">
                  <c:v>-5.6824975260749362</c:v>
                </c:pt>
                <c:pt idx="18">
                  <c:v>-10.682497526074936</c:v>
                </c:pt>
                <c:pt idx="19">
                  <c:v>-15.682497526074936</c:v>
                </c:pt>
                <c:pt idx="20">
                  <c:v>-20.682497526074936</c:v>
                </c:pt>
                <c:pt idx="21">
                  <c:v>-25.682497526074936</c:v>
                </c:pt>
                <c:pt idx="22">
                  <c:v>-30.682497526074933</c:v>
                </c:pt>
                <c:pt idx="23">
                  <c:v>-35.682497526074933</c:v>
                </c:pt>
                <c:pt idx="24">
                  <c:v>-40.682497526074933</c:v>
                </c:pt>
                <c:pt idx="25">
                  <c:v>-45.682497526074933</c:v>
                </c:pt>
                <c:pt idx="26">
                  <c:v>-50.682497526074933</c:v>
                </c:pt>
                <c:pt idx="27">
                  <c:v>-55.682497526074933</c:v>
                </c:pt>
                <c:pt idx="28">
                  <c:v>-60.68249752607494</c:v>
                </c:pt>
              </c:numCache>
            </c:numRef>
          </c:val>
          <c:smooth val="0"/>
          <c:extLst>
            <c:ext xmlns:c16="http://schemas.microsoft.com/office/drawing/2014/chart" uri="{C3380CC4-5D6E-409C-BE32-E72D297353CC}">
              <c16:uniqueId val="{00000000-7D38-460B-8E74-AB2182F76EA7}"/>
            </c:ext>
          </c:extLst>
        </c:ser>
        <c:dLbls>
          <c:showLegendKey val="0"/>
          <c:showVal val="0"/>
          <c:showCatName val="0"/>
          <c:showSerName val="0"/>
          <c:showPercent val="0"/>
          <c:showBubbleSize val="0"/>
        </c:dLbls>
        <c:marker val="1"/>
        <c:smooth val="0"/>
        <c:axId val="532388864"/>
        <c:axId val="532440192"/>
      </c:lineChart>
      <c:catAx>
        <c:axId val="532388864"/>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32440192"/>
        <c:crosses val="autoZero"/>
        <c:auto val="1"/>
        <c:lblAlgn val="ctr"/>
        <c:lblOffset val="100"/>
        <c:noMultiLvlLbl val="0"/>
      </c:catAx>
      <c:valAx>
        <c:axId val="53244019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323888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Put Ladder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'29'!$C$19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'29'!$B$20:$B$48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'29'!$C$20:$C$48</c:f>
              <c:numCache>
                <c:formatCode>_-* #,##0.00_-;[Red]\(#,##0.00\);_-* "-"_-;_-@_-</c:formatCode>
                <c:ptCount val="29"/>
                <c:pt idx="0">
                  <c:v>-58.930617597308668</c:v>
                </c:pt>
                <c:pt idx="1">
                  <c:v>-53.930617597308668</c:v>
                </c:pt>
                <c:pt idx="2">
                  <c:v>-48.930617597308668</c:v>
                </c:pt>
                <c:pt idx="3">
                  <c:v>-43.930617597308668</c:v>
                </c:pt>
                <c:pt idx="4">
                  <c:v>-38.930617597308668</c:v>
                </c:pt>
                <c:pt idx="5">
                  <c:v>-33.930617597308668</c:v>
                </c:pt>
                <c:pt idx="6">
                  <c:v>-28.930617597308672</c:v>
                </c:pt>
                <c:pt idx="7">
                  <c:v>-23.930617597308672</c:v>
                </c:pt>
                <c:pt idx="8">
                  <c:v>-18.930617597308672</c:v>
                </c:pt>
                <c:pt idx="9">
                  <c:v>-13.930617597308672</c:v>
                </c:pt>
                <c:pt idx="10">
                  <c:v>-8.9306175973086717</c:v>
                </c:pt>
                <c:pt idx="11">
                  <c:v>-3.9306175973086717</c:v>
                </c:pt>
                <c:pt idx="12">
                  <c:v>1.0693824026913283</c:v>
                </c:pt>
                <c:pt idx="13">
                  <c:v>6.0693824026913283</c:v>
                </c:pt>
                <c:pt idx="14">
                  <c:v>9.0693824026913283</c:v>
                </c:pt>
                <c:pt idx="15">
                  <c:v>7.0693824026913283</c:v>
                </c:pt>
                <c:pt idx="16">
                  <c:v>7.0693824026913283</c:v>
                </c:pt>
                <c:pt idx="17">
                  <c:v>7.0693824026913283</c:v>
                </c:pt>
                <c:pt idx="18">
                  <c:v>7.0693824026913283</c:v>
                </c:pt>
                <c:pt idx="19">
                  <c:v>7.0693824026913283</c:v>
                </c:pt>
                <c:pt idx="20">
                  <c:v>7.0693824026913283</c:v>
                </c:pt>
                <c:pt idx="21">
                  <c:v>7.0693824026913283</c:v>
                </c:pt>
                <c:pt idx="22">
                  <c:v>7.0693824026913283</c:v>
                </c:pt>
                <c:pt idx="23">
                  <c:v>7.0693824026913283</c:v>
                </c:pt>
                <c:pt idx="24">
                  <c:v>7.0693824026913283</c:v>
                </c:pt>
                <c:pt idx="25">
                  <c:v>7.0693824026913283</c:v>
                </c:pt>
                <c:pt idx="26">
                  <c:v>7.0693824026913283</c:v>
                </c:pt>
                <c:pt idx="27">
                  <c:v>7.0693824026913283</c:v>
                </c:pt>
                <c:pt idx="28">
                  <c:v>7.0693824026913283</c:v>
                </c:pt>
              </c:numCache>
            </c:numRef>
          </c:val>
          <c:smooth val="0"/>
          <c:extLst>
            <c:ext xmlns:c16="http://schemas.microsoft.com/office/drawing/2014/chart" uri="{C3380CC4-5D6E-409C-BE32-E72D297353CC}">
              <c16:uniqueId val="{00000000-BDE9-453A-B4D0-35DB30CF1B53}"/>
            </c:ext>
          </c:extLst>
        </c:ser>
        <c:dLbls>
          <c:showLegendKey val="0"/>
          <c:showVal val="0"/>
          <c:showCatName val="0"/>
          <c:showSerName val="0"/>
          <c:showPercent val="0"/>
          <c:showBubbleSize val="0"/>
        </c:dLbls>
        <c:marker val="1"/>
        <c:smooth val="0"/>
        <c:axId val="544368128"/>
        <c:axId val="544370048"/>
      </c:lineChart>
      <c:catAx>
        <c:axId val="544368128"/>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44370048"/>
        <c:crosses val="autoZero"/>
        <c:auto val="1"/>
        <c:lblAlgn val="ctr"/>
        <c:lblOffset val="100"/>
        <c:noMultiLvlLbl val="0"/>
      </c:catAx>
      <c:valAx>
        <c:axId val="54437004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443681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Strangle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'30'!$C$19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'30'!$B$20:$B$48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'30'!$C$20:$C$48</c:f>
              <c:numCache>
                <c:formatCode>_-* #,##0.00_-;[Red]\(#,##0.00\);_-* "-"_-;_-@_-</c:formatCode>
                <c:ptCount val="29"/>
                <c:pt idx="0">
                  <c:v>-53.560667915050985</c:v>
                </c:pt>
                <c:pt idx="1">
                  <c:v>-48.560667915050985</c:v>
                </c:pt>
                <c:pt idx="2">
                  <c:v>-43.560667915050985</c:v>
                </c:pt>
                <c:pt idx="3">
                  <c:v>-38.560667915050985</c:v>
                </c:pt>
                <c:pt idx="4">
                  <c:v>-33.560667915050985</c:v>
                </c:pt>
                <c:pt idx="5">
                  <c:v>-28.560667915050985</c:v>
                </c:pt>
                <c:pt idx="6">
                  <c:v>-23.560667915050988</c:v>
                </c:pt>
                <c:pt idx="7">
                  <c:v>-18.560667915050988</c:v>
                </c:pt>
                <c:pt idx="8">
                  <c:v>-13.560667915050988</c:v>
                </c:pt>
                <c:pt idx="9">
                  <c:v>-8.5606679150509883</c:v>
                </c:pt>
                <c:pt idx="10">
                  <c:v>-3.5606679150509883</c:v>
                </c:pt>
                <c:pt idx="11">
                  <c:v>1.4393320849490117</c:v>
                </c:pt>
                <c:pt idx="12">
                  <c:v>6.4393320849490117</c:v>
                </c:pt>
                <c:pt idx="13">
                  <c:v>11.439332084949012</c:v>
                </c:pt>
                <c:pt idx="14">
                  <c:v>14.439332084949012</c:v>
                </c:pt>
                <c:pt idx="15">
                  <c:v>11.439332084949012</c:v>
                </c:pt>
                <c:pt idx="16">
                  <c:v>6.4393320849490117</c:v>
                </c:pt>
                <c:pt idx="17">
                  <c:v>1.4393320849490117</c:v>
                </c:pt>
                <c:pt idx="18">
                  <c:v>-3.5606679150509883</c:v>
                </c:pt>
                <c:pt idx="19">
                  <c:v>-8.5606679150509883</c:v>
                </c:pt>
                <c:pt idx="20">
                  <c:v>-13.560667915050988</c:v>
                </c:pt>
                <c:pt idx="21">
                  <c:v>-18.560667915050988</c:v>
                </c:pt>
                <c:pt idx="22">
                  <c:v>-23.560667915050988</c:v>
                </c:pt>
                <c:pt idx="23">
                  <c:v>-28.560667915050988</c:v>
                </c:pt>
                <c:pt idx="24">
                  <c:v>-33.560667915050985</c:v>
                </c:pt>
                <c:pt idx="25">
                  <c:v>-38.560667915050985</c:v>
                </c:pt>
                <c:pt idx="26">
                  <c:v>-43.560667915050985</c:v>
                </c:pt>
                <c:pt idx="27">
                  <c:v>-48.560667915050985</c:v>
                </c:pt>
                <c:pt idx="28">
                  <c:v>-53.560667915050985</c:v>
                </c:pt>
              </c:numCache>
            </c:numRef>
          </c:val>
          <c:smooth val="0"/>
          <c:extLst>
            <c:ext xmlns:c16="http://schemas.microsoft.com/office/drawing/2014/chart" uri="{C3380CC4-5D6E-409C-BE32-E72D297353CC}">
              <c16:uniqueId val="{00000000-29EF-4BC7-B9C2-0CA526DECA6C}"/>
            </c:ext>
          </c:extLst>
        </c:ser>
        <c:dLbls>
          <c:showLegendKey val="0"/>
          <c:showVal val="0"/>
          <c:showCatName val="0"/>
          <c:showSerName val="0"/>
          <c:showPercent val="0"/>
          <c:showBubbleSize val="0"/>
        </c:dLbls>
        <c:marker val="1"/>
        <c:smooth val="0"/>
        <c:axId val="351875072"/>
        <c:axId val="351876992"/>
      </c:lineChart>
      <c:catAx>
        <c:axId val="35187507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51876992"/>
        <c:crosses val="autoZero"/>
        <c:auto val="1"/>
        <c:lblAlgn val="ctr"/>
        <c:lblOffset val="100"/>
        <c:noMultiLvlLbl val="0"/>
      </c:catAx>
      <c:valAx>
        <c:axId val="35187699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518750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Straddle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'31'!$C$19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'31'!$C$20:$C$48</c:f>
              <c:numCache>
                <c:formatCode>_-* #,##0.00_-;[Red]\(#,##0.00\);_-* "-"_-;_-@_-</c:formatCode>
                <c:ptCount val="29"/>
                <c:pt idx="0">
                  <c:v>-53.652915788386935</c:v>
                </c:pt>
                <c:pt idx="1">
                  <c:v>-48.652915788386935</c:v>
                </c:pt>
                <c:pt idx="2">
                  <c:v>-43.652915788386935</c:v>
                </c:pt>
                <c:pt idx="3">
                  <c:v>-38.652915788386935</c:v>
                </c:pt>
                <c:pt idx="4">
                  <c:v>-33.652915788386935</c:v>
                </c:pt>
                <c:pt idx="5">
                  <c:v>-28.652915788386931</c:v>
                </c:pt>
                <c:pt idx="6">
                  <c:v>-23.652915788386931</c:v>
                </c:pt>
                <c:pt idx="7">
                  <c:v>-18.652915788386931</c:v>
                </c:pt>
                <c:pt idx="8">
                  <c:v>-13.652915788386931</c:v>
                </c:pt>
                <c:pt idx="9">
                  <c:v>-8.652915788386931</c:v>
                </c:pt>
                <c:pt idx="10">
                  <c:v>-3.652915788386931</c:v>
                </c:pt>
                <c:pt idx="11">
                  <c:v>1.347084211613069</c:v>
                </c:pt>
                <c:pt idx="12">
                  <c:v>6.347084211613069</c:v>
                </c:pt>
                <c:pt idx="13">
                  <c:v>11.347084211613069</c:v>
                </c:pt>
                <c:pt idx="14">
                  <c:v>16.347084211613069</c:v>
                </c:pt>
                <c:pt idx="15">
                  <c:v>11.347084211613069</c:v>
                </c:pt>
                <c:pt idx="16">
                  <c:v>6.347084211613069</c:v>
                </c:pt>
                <c:pt idx="17">
                  <c:v>1.347084211613069</c:v>
                </c:pt>
                <c:pt idx="18">
                  <c:v>-3.652915788386931</c:v>
                </c:pt>
                <c:pt idx="19">
                  <c:v>-8.652915788386931</c:v>
                </c:pt>
                <c:pt idx="20">
                  <c:v>-13.652915788386931</c:v>
                </c:pt>
                <c:pt idx="21">
                  <c:v>-18.652915788386931</c:v>
                </c:pt>
                <c:pt idx="22">
                  <c:v>-23.652915788386927</c:v>
                </c:pt>
                <c:pt idx="23">
                  <c:v>-28.652915788386927</c:v>
                </c:pt>
                <c:pt idx="24">
                  <c:v>-33.652915788386927</c:v>
                </c:pt>
                <c:pt idx="25">
                  <c:v>-38.652915788386927</c:v>
                </c:pt>
                <c:pt idx="26">
                  <c:v>-43.652915788386927</c:v>
                </c:pt>
                <c:pt idx="27">
                  <c:v>-48.652915788386927</c:v>
                </c:pt>
                <c:pt idx="28">
                  <c:v>-53.652915788386927</c:v>
                </c:pt>
              </c:numCache>
            </c:numRef>
          </c:val>
          <c:smooth val="0"/>
          <c:extLst>
            <c:ext xmlns:c16="http://schemas.microsoft.com/office/drawing/2014/chart" uri="{C3380CC4-5D6E-409C-BE32-E72D297353CC}">
              <c16:uniqueId val="{00000000-92D1-4D47-89DE-CE09FF0E2A12}"/>
            </c:ext>
          </c:extLst>
        </c:ser>
        <c:dLbls>
          <c:showLegendKey val="0"/>
          <c:showVal val="0"/>
          <c:showCatName val="0"/>
          <c:showSerName val="0"/>
          <c:showPercent val="0"/>
          <c:showBubbleSize val="0"/>
        </c:dLbls>
        <c:marker val="1"/>
        <c:smooth val="0"/>
        <c:axId val="568121600"/>
        <c:axId val="556306816"/>
      </c:lineChart>
      <c:catAx>
        <c:axId val="568121600"/>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56306816"/>
        <c:crosses val="autoZero"/>
        <c:auto val="1"/>
        <c:lblAlgn val="ctr"/>
        <c:lblOffset val="100"/>
        <c:noMultiLvlLbl val="0"/>
      </c:catAx>
      <c:valAx>
        <c:axId val="556306816"/>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6812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Long Put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11894203849518813"/>
          <c:y val="0.13930555555555554"/>
          <c:w val="0.82123862642169732"/>
          <c:h val="0.77736111111111106"/>
        </c:manualLayout>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'5'!$B$20:$B$48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'5'!$C$20:$C$48</c:f>
              <c:numCache>
                <c:formatCode>_-* #,##0.00_-;[Red]\(#,##0.00\);_-* "-"_-;_-@_-</c:formatCode>
                <c:ptCount val="29"/>
                <c:pt idx="0">
                  <c:v>61.275098313943722</c:v>
                </c:pt>
                <c:pt idx="1">
                  <c:v>56.275098313943722</c:v>
                </c:pt>
                <c:pt idx="2">
                  <c:v>51.275098313943722</c:v>
                </c:pt>
                <c:pt idx="3">
                  <c:v>46.275098313943722</c:v>
                </c:pt>
                <c:pt idx="4">
                  <c:v>41.275098313943722</c:v>
                </c:pt>
                <c:pt idx="5">
                  <c:v>36.275098313943722</c:v>
                </c:pt>
                <c:pt idx="6">
                  <c:v>31.275098313943722</c:v>
                </c:pt>
                <c:pt idx="7">
                  <c:v>26.275098313943722</c:v>
                </c:pt>
                <c:pt idx="8">
                  <c:v>21.275098313943722</c:v>
                </c:pt>
                <c:pt idx="9">
                  <c:v>16.275098313943722</c:v>
                </c:pt>
                <c:pt idx="10">
                  <c:v>11.275098313943722</c:v>
                </c:pt>
                <c:pt idx="11">
                  <c:v>6.2750983139437224</c:v>
                </c:pt>
                <c:pt idx="12">
                  <c:v>1.2750983139437224</c:v>
                </c:pt>
                <c:pt idx="13">
                  <c:v>-3.7249016860562776</c:v>
                </c:pt>
                <c:pt idx="14">
                  <c:v>-8.7249016860562776</c:v>
                </c:pt>
                <c:pt idx="15">
                  <c:v>-10.724901686056278</c:v>
                </c:pt>
                <c:pt idx="16">
                  <c:v>-10.724901686056278</c:v>
                </c:pt>
                <c:pt idx="17">
                  <c:v>-10.724901686056278</c:v>
                </c:pt>
                <c:pt idx="18">
                  <c:v>-10.724901686056278</c:v>
                </c:pt>
                <c:pt idx="19">
                  <c:v>-10.724901686056278</c:v>
                </c:pt>
                <c:pt idx="20">
                  <c:v>-10.724901686056278</c:v>
                </c:pt>
                <c:pt idx="21">
                  <c:v>-10.724901686056278</c:v>
                </c:pt>
                <c:pt idx="22">
                  <c:v>-10.724901686056278</c:v>
                </c:pt>
                <c:pt idx="23">
                  <c:v>-10.724901686056278</c:v>
                </c:pt>
                <c:pt idx="24">
                  <c:v>-10.724901686056278</c:v>
                </c:pt>
                <c:pt idx="25">
                  <c:v>-10.724901686056278</c:v>
                </c:pt>
                <c:pt idx="26">
                  <c:v>-10.724901686056278</c:v>
                </c:pt>
                <c:pt idx="27">
                  <c:v>-10.724901686056278</c:v>
                </c:pt>
                <c:pt idx="28">
                  <c:v>-10.724901686056278</c:v>
                </c:pt>
              </c:numCache>
            </c:numRef>
          </c:yVal>
          <c:smooth val="0"/>
          <c:extLst>
            <c:ext xmlns:c16="http://schemas.microsoft.com/office/drawing/2014/chart" uri="{C3380CC4-5D6E-409C-BE32-E72D297353CC}">
              <c16:uniqueId val="{00000000-E7C1-40D0-B37B-0B05BEC79F02}"/>
            </c:ext>
          </c:extLst>
        </c:ser>
        <c:dLbls>
          <c:showLegendKey val="0"/>
          <c:showVal val="0"/>
          <c:showCatName val="0"/>
          <c:showSerName val="0"/>
          <c:showPercent val="0"/>
          <c:showBubbleSize val="0"/>
        </c:dLbls>
        <c:axId val="1083306543"/>
        <c:axId val="1083294479"/>
      </c:scatterChart>
      <c:valAx>
        <c:axId val="1083306543"/>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294479"/>
        <c:crosses val="autoZero"/>
        <c:crossBetween val="midCat"/>
      </c:valAx>
      <c:valAx>
        <c:axId val="1083294479"/>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30654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Guts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'32'!$C$19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'32'!$B$20:$B$48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'32'!$C$20:$C$48</c:f>
              <c:numCache>
                <c:formatCode>_-* #,##0.00_-;[Red]\(#,##0.00\);_-* "-"_-;_-@_-</c:formatCode>
                <c:ptCount val="29"/>
                <c:pt idx="0">
                  <c:v>-53.600468580054311</c:v>
                </c:pt>
                <c:pt idx="1">
                  <c:v>-48.600468580054311</c:v>
                </c:pt>
                <c:pt idx="2">
                  <c:v>-43.600468580054311</c:v>
                </c:pt>
                <c:pt idx="3">
                  <c:v>-38.600468580054311</c:v>
                </c:pt>
                <c:pt idx="4">
                  <c:v>-33.600468580054311</c:v>
                </c:pt>
                <c:pt idx="5">
                  <c:v>-28.600468580054311</c:v>
                </c:pt>
                <c:pt idx="6">
                  <c:v>-23.600468580054311</c:v>
                </c:pt>
                <c:pt idx="7">
                  <c:v>-18.600468580054311</c:v>
                </c:pt>
                <c:pt idx="8">
                  <c:v>-13.600468580054311</c:v>
                </c:pt>
                <c:pt idx="9">
                  <c:v>-8.6004685800543115</c:v>
                </c:pt>
                <c:pt idx="10">
                  <c:v>-3.6004685800543115</c:v>
                </c:pt>
                <c:pt idx="11">
                  <c:v>1.3995314199456885</c:v>
                </c:pt>
                <c:pt idx="12">
                  <c:v>6.3995314199456885</c:v>
                </c:pt>
                <c:pt idx="13">
                  <c:v>11.399531419945689</c:v>
                </c:pt>
                <c:pt idx="14">
                  <c:v>14.399531419945689</c:v>
                </c:pt>
                <c:pt idx="15">
                  <c:v>11.399531419945689</c:v>
                </c:pt>
                <c:pt idx="16">
                  <c:v>6.3995314199456885</c:v>
                </c:pt>
                <c:pt idx="17">
                  <c:v>1.3995314199456885</c:v>
                </c:pt>
                <c:pt idx="18">
                  <c:v>-3.6004685800543115</c:v>
                </c:pt>
                <c:pt idx="19">
                  <c:v>-8.6004685800543115</c:v>
                </c:pt>
                <c:pt idx="20">
                  <c:v>-13.600468580054311</c:v>
                </c:pt>
                <c:pt idx="21">
                  <c:v>-18.600468580054311</c:v>
                </c:pt>
                <c:pt idx="22">
                  <c:v>-23.600468580054311</c:v>
                </c:pt>
                <c:pt idx="23">
                  <c:v>-28.600468580054311</c:v>
                </c:pt>
                <c:pt idx="24">
                  <c:v>-33.600468580054311</c:v>
                </c:pt>
                <c:pt idx="25">
                  <c:v>-38.600468580054311</c:v>
                </c:pt>
                <c:pt idx="26">
                  <c:v>-43.600468580054311</c:v>
                </c:pt>
                <c:pt idx="27">
                  <c:v>-48.600468580054311</c:v>
                </c:pt>
                <c:pt idx="28">
                  <c:v>-53.600468580054304</c:v>
                </c:pt>
              </c:numCache>
            </c:numRef>
          </c:val>
          <c:smooth val="0"/>
          <c:extLst>
            <c:ext xmlns:c16="http://schemas.microsoft.com/office/drawing/2014/chart" uri="{C3380CC4-5D6E-409C-BE32-E72D297353CC}">
              <c16:uniqueId val="{00000000-EDD3-41B4-A445-FE4DE279A05A}"/>
            </c:ext>
          </c:extLst>
        </c:ser>
        <c:dLbls>
          <c:showLegendKey val="0"/>
          <c:showVal val="0"/>
          <c:showCatName val="0"/>
          <c:showSerName val="0"/>
          <c:showPercent val="0"/>
          <c:showBubbleSize val="0"/>
        </c:dLbls>
        <c:marker val="1"/>
        <c:smooth val="0"/>
        <c:axId val="580133632"/>
        <c:axId val="580135552"/>
      </c:lineChart>
      <c:catAx>
        <c:axId val="58013363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0135552"/>
        <c:crosses val="autoZero"/>
        <c:auto val="1"/>
        <c:lblAlgn val="ctr"/>
        <c:lblOffset val="100"/>
        <c:noMultiLvlLbl val="0"/>
      </c:catAx>
      <c:valAx>
        <c:axId val="58013555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80133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Condor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'33'!$C$19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'33'!$B$20:$B$48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'33'!$C$20:$C$48</c:f>
              <c:numCache>
                <c:formatCode>_-* #,##0.00_-;[Red]\(#,##0.00\);_-* "-"_-;_-@_-</c:formatCode>
                <c:ptCount val="29"/>
                <c:pt idx="0">
                  <c:v>0.21804285858598682</c:v>
                </c:pt>
                <c:pt idx="1">
                  <c:v>0.21804285858598682</c:v>
                </c:pt>
                <c:pt idx="2">
                  <c:v>0.21804285858598682</c:v>
                </c:pt>
                <c:pt idx="3">
                  <c:v>0.21804285858598682</c:v>
                </c:pt>
                <c:pt idx="4">
                  <c:v>0.21804285858598682</c:v>
                </c:pt>
                <c:pt idx="5">
                  <c:v>0.21804285858598682</c:v>
                </c:pt>
                <c:pt idx="6">
                  <c:v>0.21804285858598682</c:v>
                </c:pt>
                <c:pt idx="7">
                  <c:v>0.21804285858598682</c:v>
                </c:pt>
                <c:pt idx="8">
                  <c:v>0.21804285858598682</c:v>
                </c:pt>
                <c:pt idx="9">
                  <c:v>0.21804285858598682</c:v>
                </c:pt>
                <c:pt idx="10">
                  <c:v>0.21804285858598682</c:v>
                </c:pt>
                <c:pt idx="11">
                  <c:v>0.21804285858598682</c:v>
                </c:pt>
                <c:pt idx="12">
                  <c:v>0.21804285858598682</c:v>
                </c:pt>
                <c:pt idx="13">
                  <c:v>0.21804285858598682</c:v>
                </c:pt>
                <c:pt idx="14">
                  <c:v>-1.7819571414140141</c:v>
                </c:pt>
                <c:pt idx="15">
                  <c:v>0.21804285858598593</c:v>
                </c:pt>
                <c:pt idx="16">
                  <c:v>0.21804285858598593</c:v>
                </c:pt>
                <c:pt idx="17">
                  <c:v>0.21804285858598682</c:v>
                </c:pt>
                <c:pt idx="18">
                  <c:v>0.21804285858598682</c:v>
                </c:pt>
                <c:pt idx="19">
                  <c:v>0.2180428585859886</c:v>
                </c:pt>
                <c:pt idx="20">
                  <c:v>0.2180428585859886</c:v>
                </c:pt>
                <c:pt idx="21">
                  <c:v>0.2180428585859886</c:v>
                </c:pt>
                <c:pt idx="22">
                  <c:v>0.21804285858598149</c:v>
                </c:pt>
                <c:pt idx="23">
                  <c:v>0.21804285858598149</c:v>
                </c:pt>
                <c:pt idx="24">
                  <c:v>0.21804285858598149</c:v>
                </c:pt>
                <c:pt idx="25">
                  <c:v>0.21804285858598149</c:v>
                </c:pt>
                <c:pt idx="26">
                  <c:v>0.21804285858598149</c:v>
                </c:pt>
                <c:pt idx="27">
                  <c:v>0.21804285858598149</c:v>
                </c:pt>
                <c:pt idx="28">
                  <c:v>0.2180428585859886</c:v>
                </c:pt>
              </c:numCache>
            </c:numRef>
          </c:val>
          <c:smooth val="0"/>
          <c:extLst>
            <c:ext xmlns:c16="http://schemas.microsoft.com/office/drawing/2014/chart" uri="{C3380CC4-5D6E-409C-BE32-E72D297353CC}">
              <c16:uniqueId val="{00000000-B1F1-4A36-8FB0-D39A2703F59A}"/>
            </c:ext>
          </c:extLst>
        </c:ser>
        <c:dLbls>
          <c:showLegendKey val="0"/>
          <c:showVal val="0"/>
          <c:showCatName val="0"/>
          <c:showSerName val="0"/>
          <c:showPercent val="0"/>
          <c:showBubbleSize val="0"/>
        </c:dLbls>
        <c:marker val="1"/>
        <c:smooth val="0"/>
        <c:axId val="568175616"/>
        <c:axId val="568177792"/>
      </c:lineChart>
      <c:catAx>
        <c:axId val="568175616"/>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68177792"/>
        <c:crosses val="autoZero"/>
        <c:auto val="1"/>
        <c:lblAlgn val="ctr"/>
        <c:lblOffset val="100"/>
        <c:noMultiLvlLbl val="0"/>
      </c:catAx>
      <c:valAx>
        <c:axId val="56817779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681756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a:t>
            </a:r>
            <a:r>
              <a:rPr lang="en-US" baseline="0"/>
              <a:t> Call Butterfly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'34'!$C$19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'34'!$B$20:$B$48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'34'!$C$20:$C$48</c:f>
              <c:numCache>
                <c:formatCode>_-* #,##0.00_-;[Red]\(#,##0.00\);_-* "-"_-;_-@_-</c:formatCode>
                <c:ptCount val="29"/>
                <c:pt idx="0">
                  <c:v>7.2347540834272195E-2</c:v>
                </c:pt>
                <c:pt idx="1">
                  <c:v>7.2347540834272195E-2</c:v>
                </c:pt>
                <c:pt idx="2">
                  <c:v>7.2347540834272195E-2</c:v>
                </c:pt>
                <c:pt idx="3">
                  <c:v>7.2347540834272195E-2</c:v>
                </c:pt>
                <c:pt idx="4">
                  <c:v>7.2347540834272195E-2</c:v>
                </c:pt>
                <c:pt idx="5">
                  <c:v>7.2347540834272195E-2</c:v>
                </c:pt>
                <c:pt idx="6">
                  <c:v>7.2347540834272195E-2</c:v>
                </c:pt>
                <c:pt idx="7">
                  <c:v>7.2347540834272195E-2</c:v>
                </c:pt>
                <c:pt idx="8">
                  <c:v>7.2347540834272195E-2</c:v>
                </c:pt>
                <c:pt idx="9">
                  <c:v>7.2347540834272195E-2</c:v>
                </c:pt>
                <c:pt idx="10">
                  <c:v>7.2347540834272195E-2</c:v>
                </c:pt>
                <c:pt idx="11">
                  <c:v>7.2347540834272195E-2</c:v>
                </c:pt>
                <c:pt idx="12">
                  <c:v>7.2347540834272195E-2</c:v>
                </c:pt>
                <c:pt idx="13">
                  <c:v>7.2347540834272195E-2</c:v>
                </c:pt>
                <c:pt idx="14">
                  <c:v>-1.9276524591657278</c:v>
                </c:pt>
                <c:pt idx="15">
                  <c:v>7.2347540834272195E-2</c:v>
                </c:pt>
                <c:pt idx="16">
                  <c:v>7.2347540834272195E-2</c:v>
                </c:pt>
                <c:pt idx="17">
                  <c:v>7.2347540834272195E-2</c:v>
                </c:pt>
                <c:pt idx="18">
                  <c:v>7.2347540834272195E-2</c:v>
                </c:pt>
                <c:pt idx="19">
                  <c:v>7.2347540834272195E-2</c:v>
                </c:pt>
                <c:pt idx="20">
                  <c:v>7.2347540834272195E-2</c:v>
                </c:pt>
                <c:pt idx="21">
                  <c:v>7.2347540834272195E-2</c:v>
                </c:pt>
                <c:pt idx="22">
                  <c:v>7.2347540834265089E-2</c:v>
                </c:pt>
                <c:pt idx="23">
                  <c:v>7.2347540834265089E-2</c:v>
                </c:pt>
                <c:pt idx="24">
                  <c:v>7.2347540834265089E-2</c:v>
                </c:pt>
                <c:pt idx="25">
                  <c:v>7.2347540834265089E-2</c:v>
                </c:pt>
                <c:pt idx="26">
                  <c:v>7.2347540834265089E-2</c:v>
                </c:pt>
                <c:pt idx="27">
                  <c:v>7.2347540834265089E-2</c:v>
                </c:pt>
                <c:pt idx="28">
                  <c:v>7.2347540834272195E-2</c:v>
                </c:pt>
              </c:numCache>
            </c:numRef>
          </c:val>
          <c:smooth val="0"/>
          <c:extLst>
            <c:ext xmlns:c16="http://schemas.microsoft.com/office/drawing/2014/chart" uri="{C3380CC4-5D6E-409C-BE32-E72D297353CC}">
              <c16:uniqueId val="{00000000-ECD1-4ABE-A542-CEE97C661913}"/>
            </c:ext>
          </c:extLst>
        </c:ser>
        <c:dLbls>
          <c:showLegendKey val="0"/>
          <c:showVal val="0"/>
          <c:showCatName val="0"/>
          <c:showSerName val="0"/>
          <c:showPercent val="0"/>
          <c:showBubbleSize val="0"/>
        </c:dLbls>
        <c:marker val="1"/>
        <c:smooth val="0"/>
        <c:axId val="592070144"/>
        <c:axId val="592072064"/>
      </c:lineChart>
      <c:catAx>
        <c:axId val="592070144"/>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92072064"/>
        <c:crosses val="autoZero"/>
        <c:auto val="1"/>
        <c:lblAlgn val="ctr"/>
        <c:lblOffset val="100"/>
        <c:noMultiLvlLbl val="0"/>
      </c:catAx>
      <c:valAx>
        <c:axId val="592072064"/>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920701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Put Butterfly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'35'!$C$19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'35'!$B$20:$B$48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'35'!$C$20:$C$48</c:f>
              <c:numCache>
                <c:formatCode>_-* #,##0.00_-;[Red]\(#,##0.00\);_-* "-"_-;_-@_-</c:formatCode>
                <c:ptCount val="29"/>
                <c:pt idx="0">
                  <c:v>7.2347540834293511E-2</c:v>
                </c:pt>
                <c:pt idx="1">
                  <c:v>7.2347540834293511E-2</c:v>
                </c:pt>
                <c:pt idx="2">
                  <c:v>7.2347540834293511E-2</c:v>
                </c:pt>
                <c:pt idx="3">
                  <c:v>7.2347540834293511E-2</c:v>
                </c:pt>
                <c:pt idx="4">
                  <c:v>7.2347540834293511E-2</c:v>
                </c:pt>
                <c:pt idx="5">
                  <c:v>7.2347540834293511E-2</c:v>
                </c:pt>
                <c:pt idx="6">
                  <c:v>7.2347540834289958E-2</c:v>
                </c:pt>
                <c:pt idx="7">
                  <c:v>7.2347540834289958E-2</c:v>
                </c:pt>
                <c:pt idx="8">
                  <c:v>7.2347540834289958E-2</c:v>
                </c:pt>
                <c:pt idx="9">
                  <c:v>7.2347540834289958E-2</c:v>
                </c:pt>
                <c:pt idx="10">
                  <c:v>7.2347540834289958E-2</c:v>
                </c:pt>
                <c:pt idx="11">
                  <c:v>7.2347540834289958E-2</c:v>
                </c:pt>
                <c:pt idx="12">
                  <c:v>7.2347540834289958E-2</c:v>
                </c:pt>
                <c:pt idx="13">
                  <c:v>7.2347540834289958E-2</c:v>
                </c:pt>
                <c:pt idx="14">
                  <c:v>-1.92765245916571</c:v>
                </c:pt>
                <c:pt idx="15">
                  <c:v>7.2347540834289958E-2</c:v>
                </c:pt>
                <c:pt idx="16">
                  <c:v>7.2347540834289958E-2</c:v>
                </c:pt>
                <c:pt idx="17">
                  <c:v>7.2347540834289958E-2</c:v>
                </c:pt>
                <c:pt idx="18">
                  <c:v>7.2347540834289958E-2</c:v>
                </c:pt>
                <c:pt idx="19">
                  <c:v>7.2347540834289958E-2</c:v>
                </c:pt>
                <c:pt idx="20">
                  <c:v>7.2347540834289958E-2</c:v>
                </c:pt>
                <c:pt idx="21">
                  <c:v>7.2347540834289958E-2</c:v>
                </c:pt>
                <c:pt idx="22">
                  <c:v>7.2347540834289958E-2</c:v>
                </c:pt>
                <c:pt idx="23">
                  <c:v>7.2347540834289958E-2</c:v>
                </c:pt>
                <c:pt idx="24">
                  <c:v>7.2347540834289958E-2</c:v>
                </c:pt>
                <c:pt idx="25">
                  <c:v>7.2347540834289958E-2</c:v>
                </c:pt>
                <c:pt idx="26">
                  <c:v>7.2347540834289958E-2</c:v>
                </c:pt>
                <c:pt idx="27">
                  <c:v>7.2347540834289958E-2</c:v>
                </c:pt>
                <c:pt idx="28">
                  <c:v>7.2347540834289958E-2</c:v>
                </c:pt>
              </c:numCache>
            </c:numRef>
          </c:val>
          <c:smooth val="0"/>
          <c:extLst>
            <c:ext xmlns:c16="http://schemas.microsoft.com/office/drawing/2014/chart" uri="{C3380CC4-5D6E-409C-BE32-E72D297353CC}">
              <c16:uniqueId val="{00000000-5D04-4052-B643-8615D5CC56CC}"/>
            </c:ext>
          </c:extLst>
        </c:ser>
        <c:dLbls>
          <c:showLegendKey val="0"/>
          <c:showVal val="0"/>
          <c:showCatName val="0"/>
          <c:showSerName val="0"/>
          <c:showPercent val="0"/>
          <c:showBubbleSize val="0"/>
        </c:dLbls>
        <c:marker val="1"/>
        <c:smooth val="0"/>
        <c:axId val="615882752"/>
        <c:axId val="615884672"/>
      </c:lineChart>
      <c:catAx>
        <c:axId val="61588275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15884672"/>
        <c:crosses val="autoZero"/>
        <c:auto val="1"/>
        <c:lblAlgn val="ctr"/>
        <c:lblOffset val="100"/>
        <c:noMultiLvlLbl val="0"/>
      </c:catAx>
      <c:valAx>
        <c:axId val="61588467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158827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Call Ladder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'36'!$C$19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'36'!$B$20:$B$48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'36'!$C$20:$C$48</c:f>
              <c:numCache>
                <c:formatCode>_-* #,##0.00_-;[Red]\(#,##0.00\);_-* "-"_-;_-@_-</c:formatCode>
                <c:ptCount val="29"/>
                <c:pt idx="0">
                  <c:v>-5.3175024739250638</c:v>
                </c:pt>
                <c:pt idx="1">
                  <c:v>-5.3175024739250638</c:v>
                </c:pt>
                <c:pt idx="2">
                  <c:v>-5.3175024739250638</c:v>
                </c:pt>
                <c:pt idx="3">
                  <c:v>-5.3175024739250638</c:v>
                </c:pt>
                <c:pt idx="4">
                  <c:v>-5.3175024739250638</c:v>
                </c:pt>
                <c:pt idx="5">
                  <c:v>-5.3175024739250638</c:v>
                </c:pt>
                <c:pt idx="6">
                  <c:v>-5.3175024739250638</c:v>
                </c:pt>
                <c:pt idx="7">
                  <c:v>-5.3175024739250638</c:v>
                </c:pt>
                <c:pt idx="8">
                  <c:v>-5.3175024739250638</c:v>
                </c:pt>
                <c:pt idx="9">
                  <c:v>-5.3175024739250638</c:v>
                </c:pt>
                <c:pt idx="10">
                  <c:v>-5.3175024739250638</c:v>
                </c:pt>
                <c:pt idx="11">
                  <c:v>-5.3175024739250638</c:v>
                </c:pt>
                <c:pt idx="12">
                  <c:v>-5.3175024739250638</c:v>
                </c:pt>
                <c:pt idx="13">
                  <c:v>-5.3175024739250638</c:v>
                </c:pt>
                <c:pt idx="14">
                  <c:v>-7.3175024739250638</c:v>
                </c:pt>
                <c:pt idx="15">
                  <c:v>-4.3175024739250638</c:v>
                </c:pt>
                <c:pt idx="16">
                  <c:v>0.68249752607493619</c:v>
                </c:pt>
                <c:pt idx="17">
                  <c:v>5.6824975260749362</c:v>
                </c:pt>
                <c:pt idx="18">
                  <c:v>10.682497526074936</c:v>
                </c:pt>
                <c:pt idx="19">
                  <c:v>15.682497526074933</c:v>
                </c:pt>
                <c:pt idx="20">
                  <c:v>20.682497526074933</c:v>
                </c:pt>
                <c:pt idx="21">
                  <c:v>25.682497526074933</c:v>
                </c:pt>
                <c:pt idx="22">
                  <c:v>30.682497526074933</c:v>
                </c:pt>
                <c:pt idx="23">
                  <c:v>35.682497526074933</c:v>
                </c:pt>
                <c:pt idx="24">
                  <c:v>40.682497526074933</c:v>
                </c:pt>
                <c:pt idx="25">
                  <c:v>45.682497526074933</c:v>
                </c:pt>
                <c:pt idx="26">
                  <c:v>50.682497526074933</c:v>
                </c:pt>
                <c:pt idx="27">
                  <c:v>55.682497526074933</c:v>
                </c:pt>
                <c:pt idx="28">
                  <c:v>60.68249752607494</c:v>
                </c:pt>
              </c:numCache>
            </c:numRef>
          </c:val>
          <c:smooth val="0"/>
          <c:extLst>
            <c:ext xmlns:c16="http://schemas.microsoft.com/office/drawing/2014/chart" uri="{C3380CC4-5D6E-409C-BE32-E72D297353CC}">
              <c16:uniqueId val="{00000000-03C2-4325-93F4-DE96A3870256}"/>
            </c:ext>
          </c:extLst>
        </c:ser>
        <c:dLbls>
          <c:showLegendKey val="0"/>
          <c:showVal val="0"/>
          <c:showCatName val="0"/>
          <c:showSerName val="0"/>
          <c:showPercent val="0"/>
          <c:showBubbleSize val="0"/>
        </c:dLbls>
        <c:marker val="1"/>
        <c:smooth val="0"/>
        <c:axId val="630946048"/>
        <c:axId val="630948224"/>
      </c:lineChart>
      <c:catAx>
        <c:axId val="630946048"/>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0948224"/>
        <c:crosses val="autoZero"/>
        <c:auto val="1"/>
        <c:lblAlgn val="ctr"/>
        <c:lblOffset val="100"/>
        <c:noMultiLvlLbl val="0"/>
      </c:catAx>
      <c:valAx>
        <c:axId val="630948224"/>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309460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Short Put Ladder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'37'!$C$19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'37'!$B$20:$B$48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'37'!$C$20:$C$48</c:f>
              <c:numCache>
                <c:formatCode>_-* #,##0.00_-;[Red]\(#,##0.00\);_-* "-"_-;_-@_-</c:formatCode>
                <c:ptCount val="29"/>
                <c:pt idx="0">
                  <c:v>58.930617597308661</c:v>
                </c:pt>
                <c:pt idx="1">
                  <c:v>53.930617597308661</c:v>
                </c:pt>
                <c:pt idx="2">
                  <c:v>48.930617597308661</c:v>
                </c:pt>
                <c:pt idx="3">
                  <c:v>43.930617597308661</c:v>
                </c:pt>
                <c:pt idx="4">
                  <c:v>38.930617597308661</c:v>
                </c:pt>
                <c:pt idx="5">
                  <c:v>33.930617597308661</c:v>
                </c:pt>
                <c:pt idx="6">
                  <c:v>28.930617597308675</c:v>
                </c:pt>
                <c:pt idx="7">
                  <c:v>23.930617597308675</c:v>
                </c:pt>
                <c:pt idx="8">
                  <c:v>18.930617597308675</c:v>
                </c:pt>
                <c:pt idx="9">
                  <c:v>13.930617597308672</c:v>
                </c:pt>
                <c:pt idx="10">
                  <c:v>8.9306175973086717</c:v>
                </c:pt>
                <c:pt idx="11">
                  <c:v>3.9306175973086717</c:v>
                </c:pt>
                <c:pt idx="12">
                  <c:v>-1.0693824026913283</c:v>
                </c:pt>
                <c:pt idx="13">
                  <c:v>-6.0693824026913283</c:v>
                </c:pt>
                <c:pt idx="14">
                  <c:v>-9.0693824026913283</c:v>
                </c:pt>
                <c:pt idx="15">
                  <c:v>-7.0693824026913283</c:v>
                </c:pt>
                <c:pt idx="16">
                  <c:v>-7.0693824026913283</c:v>
                </c:pt>
                <c:pt idx="17">
                  <c:v>-7.0693824026913283</c:v>
                </c:pt>
                <c:pt idx="18">
                  <c:v>-7.0693824026913283</c:v>
                </c:pt>
                <c:pt idx="19">
                  <c:v>-7.0693824026913283</c:v>
                </c:pt>
                <c:pt idx="20">
                  <c:v>-7.0693824026913283</c:v>
                </c:pt>
                <c:pt idx="21">
                  <c:v>-7.0693824026913283</c:v>
                </c:pt>
                <c:pt idx="22">
                  <c:v>-7.0693824026913283</c:v>
                </c:pt>
                <c:pt idx="23">
                  <c:v>-7.0693824026913283</c:v>
                </c:pt>
                <c:pt idx="24">
                  <c:v>-7.0693824026913283</c:v>
                </c:pt>
                <c:pt idx="25">
                  <c:v>-7.0693824026913283</c:v>
                </c:pt>
                <c:pt idx="26">
                  <c:v>-7.0693824026913283</c:v>
                </c:pt>
                <c:pt idx="27">
                  <c:v>-7.0693824026913283</c:v>
                </c:pt>
                <c:pt idx="28">
                  <c:v>-7.0693824026913283</c:v>
                </c:pt>
              </c:numCache>
            </c:numRef>
          </c:val>
          <c:smooth val="0"/>
          <c:extLst>
            <c:ext xmlns:c16="http://schemas.microsoft.com/office/drawing/2014/chart" uri="{C3380CC4-5D6E-409C-BE32-E72D297353CC}">
              <c16:uniqueId val="{00000000-4E4D-4C72-B89D-57D053BCE5A4}"/>
            </c:ext>
          </c:extLst>
        </c:ser>
        <c:dLbls>
          <c:showLegendKey val="0"/>
          <c:showVal val="0"/>
          <c:showCatName val="0"/>
          <c:showSerName val="0"/>
          <c:showPercent val="0"/>
          <c:showBubbleSize val="0"/>
        </c:dLbls>
        <c:marker val="1"/>
        <c:smooth val="0"/>
        <c:axId val="642888448"/>
        <c:axId val="642890368"/>
      </c:lineChart>
      <c:catAx>
        <c:axId val="642888448"/>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42890368"/>
        <c:crosses val="autoZero"/>
        <c:auto val="1"/>
        <c:lblAlgn val="ctr"/>
        <c:lblOffset val="100"/>
        <c:noMultiLvlLbl val="0"/>
      </c:catAx>
      <c:valAx>
        <c:axId val="64289036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42888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Strangle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'38'!$C$19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'38'!$B$20:$B$48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'38'!$C$20:$C$48</c:f>
              <c:numCache>
                <c:formatCode>_-* #,##0.00_-;[Red]\(#,##0.00\);_-* "-"_-;_-@_-</c:formatCode>
                <c:ptCount val="29"/>
                <c:pt idx="0">
                  <c:v>53.560667915050985</c:v>
                </c:pt>
                <c:pt idx="1">
                  <c:v>48.560667915050985</c:v>
                </c:pt>
                <c:pt idx="2">
                  <c:v>43.560667915050985</c:v>
                </c:pt>
                <c:pt idx="3">
                  <c:v>38.560667915050985</c:v>
                </c:pt>
                <c:pt idx="4">
                  <c:v>33.560667915050985</c:v>
                </c:pt>
                <c:pt idx="5">
                  <c:v>28.560667915050985</c:v>
                </c:pt>
                <c:pt idx="6">
                  <c:v>23.560667915050988</c:v>
                </c:pt>
                <c:pt idx="7">
                  <c:v>18.560667915050988</c:v>
                </c:pt>
                <c:pt idx="8">
                  <c:v>13.560667915050988</c:v>
                </c:pt>
                <c:pt idx="9">
                  <c:v>8.5606679150509883</c:v>
                </c:pt>
                <c:pt idx="10">
                  <c:v>3.5606679150509883</c:v>
                </c:pt>
                <c:pt idx="11">
                  <c:v>-1.4393320849490117</c:v>
                </c:pt>
                <c:pt idx="12">
                  <c:v>-6.4393320849490117</c:v>
                </c:pt>
                <c:pt idx="13">
                  <c:v>-11.439332084949012</c:v>
                </c:pt>
                <c:pt idx="14">
                  <c:v>-14.439332084949012</c:v>
                </c:pt>
                <c:pt idx="15">
                  <c:v>-11.439332084949012</c:v>
                </c:pt>
                <c:pt idx="16">
                  <c:v>-6.4393320849490117</c:v>
                </c:pt>
                <c:pt idx="17">
                  <c:v>-1.4393320849490117</c:v>
                </c:pt>
                <c:pt idx="18">
                  <c:v>3.5606679150509883</c:v>
                </c:pt>
                <c:pt idx="19">
                  <c:v>8.5606679150509883</c:v>
                </c:pt>
                <c:pt idx="20">
                  <c:v>13.560667915050988</c:v>
                </c:pt>
                <c:pt idx="21">
                  <c:v>18.560667915050988</c:v>
                </c:pt>
                <c:pt idx="22">
                  <c:v>23.560667915050988</c:v>
                </c:pt>
                <c:pt idx="23">
                  <c:v>28.560667915050988</c:v>
                </c:pt>
                <c:pt idx="24">
                  <c:v>33.560667915050985</c:v>
                </c:pt>
                <c:pt idx="25">
                  <c:v>38.560667915050985</c:v>
                </c:pt>
                <c:pt idx="26">
                  <c:v>43.560667915050985</c:v>
                </c:pt>
                <c:pt idx="27">
                  <c:v>48.560667915050985</c:v>
                </c:pt>
                <c:pt idx="28">
                  <c:v>53.560667915050985</c:v>
                </c:pt>
              </c:numCache>
            </c:numRef>
          </c:val>
          <c:smooth val="0"/>
          <c:extLst>
            <c:ext xmlns:c16="http://schemas.microsoft.com/office/drawing/2014/chart" uri="{C3380CC4-5D6E-409C-BE32-E72D297353CC}">
              <c16:uniqueId val="{00000000-5C7F-4E75-9F84-4320BA1872ED}"/>
            </c:ext>
          </c:extLst>
        </c:ser>
        <c:dLbls>
          <c:showLegendKey val="0"/>
          <c:showVal val="0"/>
          <c:showCatName val="0"/>
          <c:showSerName val="0"/>
          <c:showPercent val="0"/>
          <c:showBubbleSize val="0"/>
        </c:dLbls>
        <c:marker val="1"/>
        <c:smooth val="0"/>
        <c:axId val="654789632"/>
        <c:axId val="654795904"/>
      </c:lineChart>
      <c:catAx>
        <c:axId val="65478963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54795904"/>
        <c:crosses val="autoZero"/>
        <c:auto val="1"/>
        <c:lblAlgn val="ctr"/>
        <c:lblOffset val="100"/>
        <c:noMultiLvlLbl val="0"/>
      </c:catAx>
      <c:valAx>
        <c:axId val="654795904"/>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547896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Straddle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'39'!$C$19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'39'!$B$20:$B$48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'39'!$C$20:$C$48</c:f>
              <c:numCache>
                <c:formatCode>_-* #,##0.00_-;[Red]\(#,##0.00\);_-* "-"_-;_-@_-</c:formatCode>
                <c:ptCount val="29"/>
                <c:pt idx="0">
                  <c:v>53.652915788386935</c:v>
                </c:pt>
                <c:pt idx="1">
                  <c:v>48.652915788386935</c:v>
                </c:pt>
                <c:pt idx="2">
                  <c:v>43.652915788386935</c:v>
                </c:pt>
                <c:pt idx="3">
                  <c:v>38.652915788386935</c:v>
                </c:pt>
                <c:pt idx="4">
                  <c:v>33.652915788386935</c:v>
                </c:pt>
                <c:pt idx="5">
                  <c:v>28.652915788386931</c:v>
                </c:pt>
                <c:pt idx="6">
                  <c:v>23.652915788386931</c:v>
                </c:pt>
                <c:pt idx="7">
                  <c:v>18.652915788386931</c:v>
                </c:pt>
                <c:pt idx="8">
                  <c:v>13.652915788386931</c:v>
                </c:pt>
                <c:pt idx="9">
                  <c:v>8.652915788386931</c:v>
                </c:pt>
                <c:pt idx="10">
                  <c:v>3.652915788386931</c:v>
                </c:pt>
                <c:pt idx="11">
                  <c:v>-1.347084211613069</c:v>
                </c:pt>
                <c:pt idx="12">
                  <c:v>-6.347084211613069</c:v>
                </c:pt>
                <c:pt idx="13">
                  <c:v>-11.347084211613069</c:v>
                </c:pt>
                <c:pt idx="14">
                  <c:v>-16.347084211613069</c:v>
                </c:pt>
                <c:pt idx="15">
                  <c:v>-11.347084211613069</c:v>
                </c:pt>
                <c:pt idx="16">
                  <c:v>-6.347084211613069</c:v>
                </c:pt>
                <c:pt idx="17">
                  <c:v>-1.347084211613069</c:v>
                </c:pt>
                <c:pt idx="18">
                  <c:v>3.652915788386931</c:v>
                </c:pt>
                <c:pt idx="19">
                  <c:v>8.652915788386931</c:v>
                </c:pt>
                <c:pt idx="20">
                  <c:v>13.652915788386931</c:v>
                </c:pt>
                <c:pt idx="21">
                  <c:v>18.652915788386931</c:v>
                </c:pt>
                <c:pt idx="22">
                  <c:v>23.652915788386927</c:v>
                </c:pt>
                <c:pt idx="23">
                  <c:v>28.652915788386927</c:v>
                </c:pt>
                <c:pt idx="24">
                  <c:v>33.652915788386927</c:v>
                </c:pt>
                <c:pt idx="25">
                  <c:v>38.652915788386927</c:v>
                </c:pt>
                <c:pt idx="26">
                  <c:v>43.652915788386927</c:v>
                </c:pt>
                <c:pt idx="27">
                  <c:v>48.652915788386927</c:v>
                </c:pt>
                <c:pt idx="28">
                  <c:v>53.652915788386927</c:v>
                </c:pt>
              </c:numCache>
            </c:numRef>
          </c:val>
          <c:smooth val="0"/>
          <c:extLst>
            <c:ext xmlns:c16="http://schemas.microsoft.com/office/drawing/2014/chart" uri="{C3380CC4-5D6E-409C-BE32-E72D297353CC}">
              <c16:uniqueId val="{00000000-7253-4943-BF8E-948B5009E184}"/>
            </c:ext>
          </c:extLst>
        </c:ser>
        <c:dLbls>
          <c:showLegendKey val="0"/>
          <c:showVal val="0"/>
          <c:showCatName val="0"/>
          <c:showSerName val="0"/>
          <c:showPercent val="0"/>
          <c:showBubbleSize val="0"/>
        </c:dLbls>
        <c:marker val="1"/>
        <c:smooth val="0"/>
        <c:axId val="666748800"/>
        <c:axId val="666755072"/>
      </c:lineChart>
      <c:catAx>
        <c:axId val="666748800"/>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755072"/>
        <c:crosses val="autoZero"/>
        <c:auto val="1"/>
        <c:lblAlgn val="ctr"/>
        <c:lblOffset val="100"/>
        <c:noMultiLvlLbl val="0"/>
      </c:catAx>
      <c:valAx>
        <c:axId val="66675507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667488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Strip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'40'!$C$19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'40'!$B$20:$B$48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'40'!$C$20:$C$48</c:f>
              <c:numCache>
                <c:formatCode>_-* #,##0.00_-;[Red]\(#,##0.00\);_-* "-"_-;_-@_-</c:formatCode>
                <c:ptCount val="29"/>
                <c:pt idx="0">
                  <c:v>114.17063637706373</c:v>
                </c:pt>
                <c:pt idx="1">
                  <c:v>104.17063637706373</c:v>
                </c:pt>
                <c:pt idx="2">
                  <c:v>94.17063637706373</c:v>
                </c:pt>
                <c:pt idx="3">
                  <c:v>84.17063637706373</c:v>
                </c:pt>
                <c:pt idx="4">
                  <c:v>74.17063637706373</c:v>
                </c:pt>
                <c:pt idx="5">
                  <c:v>64.17063637706373</c:v>
                </c:pt>
                <c:pt idx="6">
                  <c:v>54.17063637706373</c:v>
                </c:pt>
                <c:pt idx="7">
                  <c:v>44.17063637706373</c:v>
                </c:pt>
                <c:pt idx="8">
                  <c:v>34.17063637706373</c:v>
                </c:pt>
                <c:pt idx="9">
                  <c:v>24.170636377063733</c:v>
                </c:pt>
                <c:pt idx="10">
                  <c:v>14.170636377063733</c:v>
                </c:pt>
                <c:pt idx="11">
                  <c:v>4.1706363770637331</c:v>
                </c:pt>
                <c:pt idx="12">
                  <c:v>-5.8293636229362669</c:v>
                </c:pt>
                <c:pt idx="13">
                  <c:v>-15.829363622936267</c:v>
                </c:pt>
                <c:pt idx="14">
                  <c:v>-25.829363622936267</c:v>
                </c:pt>
                <c:pt idx="15">
                  <c:v>-20.829363622936267</c:v>
                </c:pt>
                <c:pt idx="16">
                  <c:v>-15.829363622936267</c:v>
                </c:pt>
                <c:pt idx="17">
                  <c:v>-10.829363622936267</c:v>
                </c:pt>
                <c:pt idx="18">
                  <c:v>-5.8293636229362669</c:v>
                </c:pt>
                <c:pt idx="19">
                  <c:v>-0.82936362293626686</c:v>
                </c:pt>
                <c:pt idx="20">
                  <c:v>4.1706363770637331</c:v>
                </c:pt>
                <c:pt idx="21">
                  <c:v>9.1706363770637331</c:v>
                </c:pt>
                <c:pt idx="22">
                  <c:v>14.17063637706373</c:v>
                </c:pt>
                <c:pt idx="23">
                  <c:v>19.17063637706373</c:v>
                </c:pt>
                <c:pt idx="24">
                  <c:v>24.17063637706373</c:v>
                </c:pt>
                <c:pt idx="25">
                  <c:v>29.17063637706373</c:v>
                </c:pt>
                <c:pt idx="26">
                  <c:v>34.17063637706373</c:v>
                </c:pt>
                <c:pt idx="27">
                  <c:v>39.17063637706373</c:v>
                </c:pt>
                <c:pt idx="28">
                  <c:v>44.17063637706373</c:v>
                </c:pt>
              </c:numCache>
            </c:numRef>
          </c:val>
          <c:smooth val="0"/>
          <c:extLst>
            <c:ext xmlns:c16="http://schemas.microsoft.com/office/drawing/2014/chart" uri="{C3380CC4-5D6E-409C-BE32-E72D297353CC}">
              <c16:uniqueId val="{00000000-7239-4B85-BE82-7CF2391041A1}"/>
            </c:ext>
          </c:extLst>
        </c:ser>
        <c:dLbls>
          <c:showLegendKey val="0"/>
          <c:showVal val="0"/>
          <c:showCatName val="0"/>
          <c:showSerName val="0"/>
          <c:showPercent val="0"/>
          <c:showBubbleSize val="0"/>
        </c:dLbls>
        <c:marker val="1"/>
        <c:smooth val="0"/>
        <c:axId val="654860672"/>
        <c:axId val="654862592"/>
      </c:lineChart>
      <c:catAx>
        <c:axId val="65486067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54862592"/>
        <c:crosses val="autoZero"/>
        <c:auto val="1"/>
        <c:lblAlgn val="ctr"/>
        <c:lblOffset val="100"/>
        <c:noMultiLvlLbl val="0"/>
      </c:catAx>
      <c:valAx>
        <c:axId val="65486259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548606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Ergebnis Strap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'41'!$C$19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'41'!$B$20:$B$48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'41'!$C$20:$C$48</c:f>
              <c:numCache>
                <c:formatCode>_-* #,##0.00_-;[Red]\(#,##0.00\);_-* "-"_-;_-@_-</c:formatCode>
                <c:ptCount val="29"/>
                <c:pt idx="0">
                  <c:v>46.78811098809706</c:v>
                </c:pt>
                <c:pt idx="1">
                  <c:v>41.78811098809706</c:v>
                </c:pt>
                <c:pt idx="2">
                  <c:v>36.78811098809706</c:v>
                </c:pt>
                <c:pt idx="3">
                  <c:v>31.78811098809706</c:v>
                </c:pt>
                <c:pt idx="4">
                  <c:v>26.78811098809706</c:v>
                </c:pt>
                <c:pt idx="5">
                  <c:v>21.78811098809706</c:v>
                </c:pt>
                <c:pt idx="6">
                  <c:v>16.78811098809706</c:v>
                </c:pt>
                <c:pt idx="7">
                  <c:v>11.78811098809706</c:v>
                </c:pt>
                <c:pt idx="8">
                  <c:v>6.7881109880970598</c:v>
                </c:pt>
                <c:pt idx="9">
                  <c:v>1.7881109880970598</c:v>
                </c:pt>
                <c:pt idx="10">
                  <c:v>-3.2118890119029402</c:v>
                </c:pt>
                <c:pt idx="11">
                  <c:v>-8.2118890119029402</c:v>
                </c:pt>
                <c:pt idx="12">
                  <c:v>-13.21188901190294</c:v>
                </c:pt>
                <c:pt idx="13">
                  <c:v>-18.21188901190294</c:v>
                </c:pt>
                <c:pt idx="14">
                  <c:v>-23.21188901190294</c:v>
                </c:pt>
                <c:pt idx="15">
                  <c:v>-13.21188901190294</c:v>
                </c:pt>
                <c:pt idx="16">
                  <c:v>-3.2118890119029402</c:v>
                </c:pt>
                <c:pt idx="17">
                  <c:v>6.7881109880970598</c:v>
                </c:pt>
                <c:pt idx="18">
                  <c:v>16.78811098809706</c:v>
                </c:pt>
                <c:pt idx="19">
                  <c:v>26.78811098809706</c:v>
                </c:pt>
                <c:pt idx="20">
                  <c:v>36.78811098809706</c:v>
                </c:pt>
                <c:pt idx="21">
                  <c:v>46.78811098809706</c:v>
                </c:pt>
                <c:pt idx="22">
                  <c:v>56.788110988097053</c:v>
                </c:pt>
                <c:pt idx="23">
                  <c:v>66.78811098809706</c:v>
                </c:pt>
                <c:pt idx="24">
                  <c:v>76.78811098809706</c:v>
                </c:pt>
                <c:pt idx="25">
                  <c:v>86.78811098809706</c:v>
                </c:pt>
                <c:pt idx="26">
                  <c:v>96.78811098809706</c:v>
                </c:pt>
                <c:pt idx="27">
                  <c:v>106.78811098809706</c:v>
                </c:pt>
                <c:pt idx="28">
                  <c:v>116.78811098809706</c:v>
                </c:pt>
              </c:numCache>
            </c:numRef>
          </c:val>
          <c:smooth val="0"/>
          <c:extLst>
            <c:ext xmlns:c16="http://schemas.microsoft.com/office/drawing/2014/chart" uri="{C3380CC4-5D6E-409C-BE32-E72D297353CC}">
              <c16:uniqueId val="{00000000-3BA5-46F2-A70A-848A764D5FC0}"/>
            </c:ext>
          </c:extLst>
        </c:ser>
        <c:dLbls>
          <c:showLegendKey val="0"/>
          <c:showVal val="0"/>
          <c:showCatName val="0"/>
          <c:showSerName val="0"/>
          <c:showPercent val="0"/>
          <c:showBubbleSize val="0"/>
        </c:dLbls>
        <c:marker val="1"/>
        <c:smooth val="0"/>
        <c:axId val="690600576"/>
        <c:axId val="690606848"/>
      </c:lineChart>
      <c:catAx>
        <c:axId val="690600576"/>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90606848"/>
        <c:crosses val="autoZero"/>
        <c:auto val="1"/>
        <c:lblAlgn val="ctr"/>
        <c:lblOffset val="100"/>
        <c:noMultiLvlLbl val="0"/>
      </c:catAx>
      <c:valAx>
        <c:axId val="690606848"/>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6906005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Short Put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'6'!$B$20:$B$48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'6'!$C$20:$C$48</c:f>
              <c:numCache>
                <c:formatCode>_-* #,##0.00_-;[Red]\(#,##0.00\);_-* "-"_-;_-@_-</c:formatCode>
                <c:ptCount val="29"/>
                <c:pt idx="0">
                  <c:v>-61.275098313943722</c:v>
                </c:pt>
                <c:pt idx="1">
                  <c:v>-56.275098313943722</c:v>
                </c:pt>
                <c:pt idx="2">
                  <c:v>-51.275098313943722</c:v>
                </c:pt>
                <c:pt idx="3">
                  <c:v>-46.275098313943722</c:v>
                </c:pt>
                <c:pt idx="4">
                  <c:v>-41.275098313943722</c:v>
                </c:pt>
                <c:pt idx="5">
                  <c:v>-36.275098313943722</c:v>
                </c:pt>
                <c:pt idx="6">
                  <c:v>-31.275098313943722</c:v>
                </c:pt>
                <c:pt idx="7">
                  <c:v>-26.275098313943722</c:v>
                </c:pt>
                <c:pt idx="8">
                  <c:v>-21.275098313943722</c:v>
                </c:pt>
                <c:pt idx="9">
                  <c:v>-16.275098313943722</c:v>
                </c:pt>
                <c:pt idx="10">
                  <c:v>-11.275098313943722</c:v>
                </c:pt>
                <c:pt idx="11">
                  <c:v>-6.2750983139437224</c:v>
                </c:pt>
                <c:pt idx="12">
                  <c:v>-1.2750983139437224</c:v>
                </c:pt>
                <c:pt idx="13">
                  <c:v>3.7249016860562776</c:v>
                </c:pt>
                <c:pt idx="14">
                  <c:v>8.7249016860562776</c:v>
                </c:pt>
                <c:pt idx="15">
                  <c:v>10.724901686056278</c:v>
                </c:pt>
                <c:pt idx="16">
                  <c:v>10.724901686056278</c:v>
                </c:pt>
                <c:pt idx="17">
                  <c:v>10.724901686056278</c:v>
                </c:pt>
                <c:pt idx="18">
                  <c:v>10.724901686056278</c:v>
                </c:pt>
                <c:pt idx="19">
                  <c:v>10.724901686056278</c:v>
                </c:pt>
                <c:pt idx="20">
                  <c:v>10.724901686056278</c:v>
                </c:pt>
                <c:pt idx="21">
                  <c:v>10.724901686056278</c:v>
                </c:pt>
                <c:pt idx="22">
                  <c:v>10.724901686056278</c:v>
                </c:pt>
                <c:pt idx="23">
                  <c:v>10.724901686056278</c:v>
                </c:pt>
                <c:pt idx="24">
                  <c:v>10.724901686056278</c:v>
                </c:pt>
                <c:pt idx="25">
                  <c:v>10.724901686056278</c:v>
                </c:pt>
                <c:pt idx="26">
                  <c:v>10.724901686056278</c:v>
                </c:pt>
                <c:pt idx="27">
                  <c:v>10.724901686056278</c:v>
                </c:pt>
                <c:pt idx="28">
                  <c:v>10.724901686056278</c:v>
                </c:pt>
              </c:numCache>
            </c:numRef>
          </c:yVal>
          <c:smooth val="0"/>
          <c:extLst>
            <c:ext xmlns:c16="http://schemas.microsoft.com/office/drawing/2014/chart" uri="{C3380CC4-5D6E-409C-BE32-E72D297353CC}">
              <c16:uniqueId val="{00000000-9A90-4472-9701-B8C7F267B41E}"/>
            </c:ext>
          </c:extLst>
        </c:ser>
        <c:dLbls>
          <c:showLegendKey val="0"/>
          <c:showVal val="0"/>
          <c:showCatName val="0"/>
          <c:showSerName val="0"/>
          <c:showPercent val="0"/>
          <c:showBubbleSize val="0"/>
        </c:dLbls>
        <c:axId val="1083249967"/>
        <c:axId val="1083238319"/>
      </c:scatterChart>
      <c:valAx>
        <c:axId val="1083249967"/>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238319"/>
        <c:crosses val="autoZero"/>
        <c:crossBetween val="midCat"/>
      </c:valAx>
      <c:valAx>
        <c:axId val="1083238319"/>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8324996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Ergebnis Long Guts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'42'!$C$19</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'42'!$B$20:$B$48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'42'!$C$20:$C$48</c:f>
              <c:numCache>
                <c:formatCode>_-* #,##0.00_-;[Red]\(#,##0.00\);_-* "-"_-;_-@_-</c:formatCode>
                <c:ptCount val="29"/>
                <c:pt idx="0">
                  <c:v>53.600468580054311</c:v>
                </c:pt>
                <c:pt idx="1">
                  <c:v>48.600468580054311</c:v>
                </c:pt>
                <c:pt idx="2">
                  <c:v>43.600468580054311</c:v>
                </c:pt>
                <c:pt idx="3">
                  <c:v>38.600468580054311</c:v>
                </c:pt>
                <c:pt idx="4">
                  <c:v>33.600468580054311</c:v>
                </c:pt>
                <c:pt idx="5">
                  <c:v>28.600468580054311</c:v>
                </c:pt>
                <c:pt idx="6">
                  <c:v>23.600468580054311</c:v>
                </c:pt>
                <c:pt idx="7">
                  <c:v>18.600468580054311</c:v>
                </c:pt>
                <c:pt idx="8">
                  <c:v>13.600468580054311</c:v>
                </c:pt>
                <c:pt idx="9">
                  <c:v>8.6004685800543115</c:v>
                </c:pt>
                <c:pt idx="10">
                  <c:v>3.6004685800543115</c:v>
                </c:pt>
                <c:pt idx="11">
                  <c:v>-1.3995314199456885</c:v>
                </c:pt>
                <c:pt idx="12">
                  <c:v>-6.3995314199456885</c:v>
                </c:pt>
                <c:pt idx="13">
                  <c:v>-11.399531419945689</c:v>
                </c:pt>
                <c:pt idx="14">
                  <c:v>-14.399531419945689</c:v>
                </c:pt>
                <c:pt idx="15">
                  <c:v>-11.399531419945689</c:v>
                </c:pt>
                <c:pt idx="16">
                  <c:v>-6.3995314199456885</c:v>
                </c:pt>
                <c:pt idx="17">
                  <c:v>-1.3995314199456885</c:v>
                </c:pt>
                <c:pt idx="18">
                  <c:v>3.6004685800543115</c:v>
                </c:pt>
                <c:pt idx="19">
                  <c:v>8.6004685800543115</c:v>
                </c:pt>
                <c:pt idx="20">
                  <c:v>13.600468580054311</c:v>
                </c:pt>
                <c:pt idx="21">
                  <c:v>18.600468580054311</c:v>
                </c:pt>
                <c:pt idx="22">
                  <c:v>23.600468580054311</c:v>
                </c:pt>
                <c:pt idx="23">
                  <c:v>28.600468580054311</c:v>
                </c:pt>
                <c:pt idx="24">
                  <c:v>33.600468580054311</c:v>
                </c:pt>
                <c:pt idx="25">
                  <c:v>38.600468580054311</c:v>
                </c:pt>
                <c:pt idx="26">
                  <c:v>43.600468580054311</c:v>
                </c:pt>
                <c:pt idx="27">
                  <c:v>48.600468580054311</c:v>
                </c:pt>
                <c:pt idx="28">
                  <c:v>53.600468580054304</c:v>
                </c:pt>
              </c:numCache>
            </c:numRef>
          </c:val>
          <c:smooth val="0"/>
          <c:extLst>
            <c:ext xmlns:c16="http://schemas.microsoft.com/office/drawing/2014/chart" uri="{C3380CC4-5D6E-409C-BE32-E72D297353CC}">
              <c16:uniqueId val="{00000000-0506-43CB-9D3E-8EDBE809ECC2}"/>
            </c:ext>
          </c:extLst>
        </c:ser>
        <c:dLbls>
          <c:showLegendKey val="0"/>
          <c:showVal val="0"/>
          <c:showCatName val="0"/>
          <c:showSerName val="0"/>
          <c:showPercent val="0"/>
          <c:showBubbleSize val="0"/>
        </c:dLbls>
        <c:marker val="1"/>
        <c:smooth val="0"/>
        <c:axId val="702526592"/>
        <c:axId val="702528512"/>
      </c:lineChart>
      <c:catAx>
        <c:axId val="70252659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2528512"/>
        <c:crosses val="autoZero"/>
        <c:auto val="1"/>
        <c:lblAlgn val="ctr"/>
        <c:lblOffset val="100"/>
        <c:noMultiLvlLbl val="0"/>
      </c:catAx>
      <c:valAx>
        <c:axId val="70252851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25265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0" i="0" baseline="0">
                <a:effectLst/>
              </a:rPr>
              <a:t>Ergebnisprofile neutrale Optionsstrategien</a:t>
            </a:r>
            <a:endParaRPr lang="de-DE">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'45 Neutral '!$D$13</c:f>
              <c:strCache>
                <c:ptCount val="1"/>
                <c:pt idx="0">
                  <c:v>Condor Options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'!$D$14:$D$44</c:f>
              <c:numCache>
                <c:formatCode>_-* #,##0.00_-;[Red]\(#,##0.00\);_-* "-"_-;_-@_-</c:formatCode>
                <c:ptCount val="31"/>
                <c:pt idx="0">
                  <c:v>-0.21804285858598504</c:v>
                </c:pt>
                <c:pt idx="1">
                  <c:v>-0.21804285858598504</c:v>
                </c:pt>
                <c:pt idx="2">
                  <c:v>-0.21804285858598504</c:v>
                </c:pt>
                <c:pt idx="3">
                  <c:v>-0.21804285858598504</c:v>
                </c:pt>
                <c:pt idx="4">
                  <c:v>-0.21804285858598504</c:v>
                </c:pt>
                <c:pt idx="5">
                  <c:v>-0.21804285858598504</c:v>
                </c:pt>
                <c:pt idx="6">
                  <c:v>-0.21804285858598504</c:v>
                </c:pt>
                <c:pt idx="7">
                  <c:v>-0.21804285858598504</c:v>
                </c:pt>
                <c:pt idx="8">
                  <c:v>-0.21804285858598504</c:v>
                </c:pt>
                <c:pt idx="9">
                  <c:v>-0.21804285858598504</c:v>
                </c:pt>
                <c:pt idx="10">
                  <c:v>-0.21804285858598504</c:v>
                </c:pt>
                <c:pt idx="11">
                  <c:v>-0.21804285858598504</c:v>
                </c:pt>
                <c:pt idx="12">
                  <c:v>-0.21804285858598504</c:v>
                </c:pt>
                <c:pt idx="13">
                  <c:v>-0.21804285858598504</c:v>
                </c:pt>
                <c:pt idx="14">
                  <c:v>1.781957141414015</c:v>
                </c:pt>
                <c:pt idx="15">
                  <c:v>-0.21804285858598593</c:v>
                </c:pt>
                <c:pt idx="16">
                  <c:v>-0.21804285858598593</c:v>
                </c:pt>
                <c:pt idx="17">
                  <c:v>-0.21804285858598504</c:v>
                </c:pt>
                <c:pt idx="18">
                  <c:v>-0.2180428585859886</c:v>
                </c:pt>
                <c:pt idx="19">
                  <c:v>-0.2180428585859886</c:v>
                </c:pt>
                <c:pt idx="20">
                  <c:v>-0.2180428585859886</c:v>
                </c:pt>
                <c:pt idx="21">
                  <c:v>-0.2180428585859886</c:v>
                </c:pt>
                <c:pt idx="22">
                  <c:v>-0.2180428585859957</c:v>
                </c:pt>
                <c:pt idx="23">
                  <c:v>-0.2180428585859957</c:v>
                </c:pt>
                <c:pt idx="24">
                  <c:v>-0.2180428585859957</c:v>
                </c:pt>
                <c:pt idx="25">
                  <c:v>-0.2180428585859957</c:v>
                </c:pt>
                <c:pt idx="26">
                  <c:v>-0.2180428585859957</c:v>
                </c:pt>
                <c:pt idx="27">
                  <c:v>-0.2180428585859957</c:v>
                </c:pt>
                <c:pt idx="28">
                  <c:v>-0.2180428585859886</c:v>
                </c:pt>
              </c:numCache>
            </c:numRef>
          </c:val>
          <c:smooth val="0"/>
          <c:extLst>
            <c:ext xmlns:c16="http://schemas.microsoft.com/office/drawing/2014/chart" uri="{C3380CC4-5D6E-409C-BE32-E72D297353CC}">
              <c16:uniqueId val="{00000000-CE8D-4910-A5BD-A7D672BF8C1B}"/>
            </c:ext>
          </c:extLst>
        </c:ser>
        <c:ser>
          <c:idx val="1"/>
          <c:order val="1"/>
          <c:tx>
            <c:strRef>
              <c:f>'45 Neutral '!$F$13</c:f>
              <c:strCache>
                <c:ptCount val="1"/>
                <c:pt idx="0">
                  <c:v>Long Call Butterfly</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'!$F$14:$F$44</c:f>
              <c:numCache>
                <c:formatCode>_-* #,##0.00_-;[Red]\(#,##0.00\);_-* "-"_-;_-@_-</c:formatCode>
                <c:ptCount val="31"/>
                <c:pt idx="0">
                  <c:v>-7.2347540834272195E-2</c:v>
                </c:pt>
                <c:pt idx="1">
                  <c:v>-7.2347540834272195E-2</c:v>
                </c:pt>
                <c:pt idx="2">
                  <c:v>-7.2347540834272195E-2</c:v>
                </c:pt>
                <c:pt idx="3">
                  <c:v>-7.2347540834272195E-2</c:v>
                </c:pt>
                <c:pt idx="4">
                  <c:v>-7.2347540834272195E-2</c:v>
                </c:pt>
                <c:pt idx="5">
                  <c:v>-7.2347540834272195E-2</c:v>
                </c:pt>
                <c:pt idx="6">
                  <c:v>-7.2347540834272195E-2</c:v>
                </c:pt>
                <c:pt idx="7">
                  <c:v>-7.2347540834272195E-2</c:v>
                </c:pt>
                <c:pt idx="8">
                  <c:v>-7.2347540834272195E-2</c:v>
                </c:pt>
                <c:pt idx="9">
                  <c:v>-7.2347540834272195E-2</c:v>
                </c:pt>
                <c:pt idx="10">
                  <c:v>-7.2347540834272195E-2</c:v>
                </c:pt>
                <c:pt idx="11">
                  <c:v>-7.2347540834272195E-2</c:v>
                </c:pt>
                <c:pt idx="12">
                  <c:v>-7.2347540834272195E-2</c:v>
                </c:pt>
                <c:pt idx="13">
                  <c:v>-7.2347540834272195E-2</c:v>
                </c:pt>
                <c:pt idx="14">
                  <c:v>1.9276524591657278</c:v>
                </c:pt>
                <c:pt idx="15">
                  <c:v>-7.2347540834272195E-2</c:v>
                </c:pt>
                <c:pt idx="16">
                  <c:v>-7.2347540834272195E-2</c:v>
                </c:pt>
                <c:pt idx="17">
                  <c:v>-7.2347540834272195E-2</c:v>
                </c:pt>
                <c:pt idx="18">
                  <c:v>-7.2347540834272195E-2</c:v>
                </c:pt>
                <c:pt idx="19">
                  <c:v>-7.2347540834272195E-2</c:v>
                </c:pt>
                <c:pt idx="20">
                  <c:v>-7.2347540834272195E-2</c:v>
                </c:pt>
                <c:pt idx="21">
                  <c:v>-7.2347540834272195E-2</c:v>
                </c:pt>
                <c:pt idx="22">
                  <c:v>-7.2347540834272195E-2</c:v>
                </c:pt>
                <c:pt idx="23">
                  <c:v>-7.2347540834272195E-2</c:v>
                </c:pt>
                <c:pt idx="24">
                  <c:v>-7.2347540834272195E-2</c:v>
                </c:pt>
                <c:pt idx="25">
                  <c:v>-7.2347540834272195E-2</c:v>
                </c:pt>
                <c:pt idx="26">
                  <c:v>-7.2347540834272195E-2</c:v>
                </c:pt>
                <c:pt idx="27">
                  <c:v>-7.2347540834272195E-2</c:v>
                </c:pt>
                <c:pt idx="28">
                  <c:v>-7.2347540834272195E-2</c:v>
                </c:pt>
              </c:numCache>
            </c:numRef>
          </c:val>
          <c:smooth val="0"/>
          <c:extLst>
            <c:ext xmlns:c16="http://schemas.microsoft.com/office/drawing/2014/chart" uri="{C3380CC4-5D6E-409C-BE32-E72D297353CC}">
              <c16:uniqueId val="{00000001-CE8D-4910-A5BD-A7D672BF8C1B}"/>
            </c:ext>
          </c:extLst>
        </c:ser>
        <c:ser>
          <c:idx val="2"/>
          <c:order val="2"/>
          <c:tx>
            <c:strRef>
              <c:f>'45 Neutral '!$H$13</c:f>
              <c:strCache>
                <c:ptCount val="1"/>
                <c:pt idx="0">
                  <c:v>Long Put Butterfly</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'!$H$14:$H$44</c:f>
              <c:numCache>
                <c:formatCode>_-* #,##0.00_-;[Red]\(#,##0.00\);_-* "-"_-;_-@_-</c:formatCode>
                <c:ptCount val="31"/>
                <c:pt idx="0">
                  <c:v>-7.2347540834286406E-2</c:v>
                </c:pt>
                <c:pt idx="1">
                  <c:v>-7.2347540834286406E-2</c:v>
                </c:pt>
                <c:pt idx="2">
                  <c:v>-7.2347540834286406E-2</c:v>
                </c:pt>
                <c:pt idx="3">
                  <c:v>-7.2347540834286406E-2</c:v>
                </c:pt>
                <c:pt idx="4">
                  <c:v>-7.2347540834286406E-2</c:v>
                </c:pt>
                <c:pt idx="5">
                  <c:v>-7.2347540834286406E-2</c:v>
                </c:pt>
                <c:pt idx="6">
                  <c:v>-7.2347540834286406E-2</c:v>
                </c:pt>
                <c:pt idx="7">
                  <c:v>-7.2347540834286406E-2</c:v>
                </c:pt>
                <c:pt idx="8">
                  <c:v>-7.2347540834286406E-2</c:v>
                </c:pt>
                <c:pt idx="9">
                  <c:v>-7.2347540834289958E-2</c:v>
                </c:pt>
                <c:pt idx="10">
                  <c:v>-7.2347540834289958E-2</c:v>
                </c:pt>
                <c:pt idx="11">
                  <c:v>-7.2347540834289958E-2</c:v>
                </c:pt>
                <c:pt idx="12">
                  <c:v>-7.2347540834289958E-2</c:v>
                </c:pt>
                <c:pt idx="13">
                  <c:v>-7.2347540834289958E-2</c:v>
                </c:pt>
                <c:pt idx="14">
                  <c:v>1.92765245916571</c:v>
                </c:pt>
                <c:pt idx="15">
                  <c:v>-7.2347540834289958E-2</c:v>
                </c:pt>
                <c:pt idx="16">
                  <c:v>-7.2347540834289958E-2</c:v>
                </c:pt>
                <c:pt idx="17">
                  <c:v>-7.2347540834289958E-2</c:v>
                </c:pt>
                <c:pt idx="18">
                  <c:v>-7.2347540834289958E-2</c:v>
                </c:pt>
                <c:pt idx="19">
                  <c:v>-7.2347540834289958E-2</c:v>
                </c:pt>
                <c:pt idx="20">
                  <c:v>-7.2347540834289958E-2</c:v>
                </c:pt>
                <c:pt idx="21">
                  <c:v>-7.2347540834289958E-2</c:v>
                </c:pt>
                <c:pt idx="22">
                  <c:v>-7.2347540834289958E-2</c:v>
                </c:pt>
                <c:pt idx="23">
                  <c:v>-7.2347540834289958E-2</c:v>
                </c:pt>
                <c:pt idx="24">
                  <c:v>-7.2347540834289958E-2</c:v>
                </c:pt>
                <c:pt idx="25">
                  <c:v>-7.2347540834289958E-2</c:v>
                </c:pt>
                <c:pt idx="26">
                  <c:v>-7.2347540834289958E-2</c:v>
                </c:pt>
                <c:pt idx="27">
                  <c:v>-7.2347540834289958E-2</c:v>
                </c:pt>
                <c:pt idx="28">
                  <c:v>-7.2347540834289958E-2</c:v>
                </c:pt>
              </c:numCache>
            </c:numRef>
          </c:val>
          <c:smooth val="0"/>
          <c:extLst>
            <c:ext xmlns:c16="http://schemas.microsoft.com/office/drawing/2014/chart" uri="{C3380CC4-5D6E-409C-BE32-E72D297353CC}">
              <c16:uniqueId val="{00000002-CE8D-4910-A5BD-A7D672BF8C1B}"/>
            </c:ext>
          </c:extLst>
        </c:ser>
        <c:ser>
          <c:idx val="3"/>
          <c:order val="3"/>
          <c:tx>
            <c:strRef>
              <c:f>'45 Neutral '!$J$13</c:f>
              <c:strCache>
                <c:ptCount val="1"/>
                <c:pt idx="0">
                  <c:v>Long Call Ladder</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'!$J$14:$J$44</c:f>
              <c:numCache>
                <c:formatCode>_-* #,##0.00_-;[Red]\(#,##0.00\);_-* "-"_-;_-@_-</c:formatCode>
                <c:ptCount val="31"/>
                <c:pt idx="0">
                  <c:v>5.3175024739250638</c:v>
                </c:pt>
                <c:pt idx="1">
                  <c:v>5.3175024739250638</c:v>
                </c:pt>
                <c:pt idx="2">
                  <c:v>5.3175024739250638</c:v>
                </c:pt>
                <c:pt idx="3">
                  <c:v>5.3175024739250638</c:v>
                </c:pt>
                <c:pt idx="4">
                  <c:v>5.3175024739250638</c:v>
                </c:pt>
                <c:pt idx="5">
                  <c:v>5.3175024739250638</c:v>
                </c:pt>
                <c:pt idx="6">
                  <c:v>5.3175024739250638</c:v>
                </c:pt>
                <c:pt idx="7">
                  <c:v>5.3175024739250638</c:v>
                </c:pt>
                <c:pt idx="8">
                  <c:v>5.3175024739250638</c:v>
                </c:pt>
                <c:pt idx="9">
                  <c:v>5.3175024739250638</c:v>
                </c:pt>
                <c:pt idx="10">
                  <c:v>5.3175024739250638</c:v>
                </c:pt>
                <c:pt idx="11">
                  <c:v>5.3175024739250638</c:v>
                </c:pt>
                <c:pt idx="12">
                  <c:v>5.3175024739250638</c:v>
                </c:pt>
                <c:pt idx="13">
                  <c:v>5.3175024739250638</c:v>
                </c:pt>
                <c:pt idx="14">
                  <c:v>7.3175024739250638</c:v>
                </c:pt>
                <c:pt idx="15">
                  <c:v>4.3175024739250638</c:v>
                </c:pt>
                <c:pt idx="16">
                  <c:v>-0.68249752607493619</c:v>
                </c:pt>
                <c:pt idx="17">
                  <c:v>-5.6824975260749362</c:v>
                </c:pt>
                <c:pt idx="18">
                  <c:v>-10.682497526074936</c:v>
                </c:pt>
                <c:pt idx="19">
                  <c:v>-15.682497526074936</c:v>
                </c:pt>
                <c:pt idx="20">
                  <c:v>-20.682497526074936</c:v>
                </c:pt>
                <c:pt idx="21">
                  <c:v>-25.682497526074936</c:v>
                </c:pt>
                <c:pt idx="22">
                  <c:v>-30.682497526074933</c:v>
                </c:pt>
                <c:pt idx="23">
                  <c:v>-35.682497526074933</c:v>
                </c:pt>
                <c:pt idx="24">
                  <c:v>-40.682497526074933</c:v>
                </c:pt>
                <c:pt idx="25">
                  <c:v>-45.682497526074933</c:v>
                </c:pt>
                <c:pt idx="26">
                  <c:v>-50.682497526074933</c:v>
                </c:pt>
                <c:pt idx="27">
                  <c:v>-55.682497526074933</c:v>
                </c:pt>
                <c:pt idx="28">
                  <c:v>-60.68249752607494</c:v>
                </c:pt>
              </c:numCache>
            </c:numRef>
          </c:val>
          <c:smooth val="0"/>
          <c:extLst>
            <c:ext xmlns:c16="http://schemas.microsoft.com/office/drawing/2014/chart" uri="{C3380CC4-5D6E-409C-BE32-E72D297353CC}">
              <c16:uniqueId val="{00000003-CE8D-4910-A5BD-A7D672BF8C1B}"/>
            </c:ext>
          </c:extLst>
        </c:ser>
        <c:ser>
          <c:idx val="4"/>
          <c:order val="4"/>
          <c:tx>
            <c:strRef>
              <c:f>'45 Neutral '!$L$13</c:f>
              <c:strCache>
                <c:ptCount val="1"/>
                <c:pt idx="0">
                  <c:v>Long Put Ladder</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'!$L$14:$L$44</c:f>
              <c:numCache>
                <c:formatCode>_-* #,##0.00_-;[Red]\(#,##0.00\);_-* "-"_-;_-@_-</c:formatCode>
                <c:ptCount val="31"/>
                <c:pt idx="0">
                  <c:v>-58.930617597308668</c:v>
                </c:pt>
                <c:pt idx="1">
                  <c:v>-53.930617597308668</c:v>
                </c:pt>
                <c:pt idx="2">
                  <c:v>-48.930617597308668</c:v>
                </c:pt>
                <c:pt idx="3">
                  <c:v>-43.930617597308668</c:v>
                </c:pt>
                <c:pt idx="4">
                  <c:v>-38.930617597308668</c:v>
                </c:pt>
                <c:pt idx="5">
                  <c:v>-33.930617597308668</c:v>
                </c:pt>
                <c:pt idx="6">
                  <c:v>-28.930617597308672</c:v>
                </c:pt>
                <c:pt idx="7">
                  <c:v>-23.930617597308672</c:v>
                </c:pt>
                <c:pt idx="8">
                  <c:v>-18.930617597308672</c:v>
                </c:pt>
                <c:pt idx="9">
                  <c:v>-13.930617597308672</c:v>
                </c:pt>
                <c:pt idx="10">
                  <c:v>-8.9306175973086717</c:v>
                </c:pt>
                <c:pt idx="11">
                  <c:v>-3.9306175973086717</c:v>
                </c:pt>
                <c:pt idx="12">
                  <c:v>1.0693824026913283</c:v>
                </c:pt>
                <c:pt idx="13">
                  <c:v>6.0693824026913283</c:v>
                </c:pt>
                <c:pt idx="14">
                  <c:v>9.0693824026913283</c:v>
                </c:pt>
                <c:pt idx="15">
                  <c:v>7.0693824026913283</c:v>
                </c:pt>
                <c:pt idx="16">
                  <c:v>7.0693824026913283</c:v>
                </c:pt>
                <c:pt idx="17">
                  <c:v>7.0693824026913283</c:v>
                </c:pt>
                <c:pt idx="18">
                  <c:v>7.0693824026913283</c:v>
                </c:pt>
                <c:pt idx="19">
                  <c:v>7.0693824026913283</c:v>
                </c:pt>
                <c:pt idx="20">
                  <c:v>7.0693824026913283</c:v>
                </c:pt>
                <c:pt idx="21">
                  <c:v>7.0693824026913283</c:v>
                </c:pt>
                <c:pt idx="22">
                  <c:v>7.0693824026913283</c:v>
                </c:pt>
                <c:pt idx="23">
                  <c:v>7.0693824026913283</c:v>
                </c:pt>
                <c:pt idx="24">
                  <c:v>7.0693824026913283</c:v>
                </c:pt>
                <c:pt idx="25">
                  <c:v>7.0693824026913283</c:v>
                </c:pt>
                <c:pt idx="26">
                  <c:v>7.0693824026913283</c:v>
                </c:pt>
                <c:pt idx="27">
                  <c:v>7.0693824026913283</c:v>
                </c:pt>
                <c:pt idx="28">
                  <c:v>7.0693824026913283</c:v>
                </c:pt>
              </c:numCache>
            </c:numRef>
          </c:val>
          <c:smooth val="0"/>
          <c:extLst>
            <c:ext xmlns:c16="http://schemas.microsoft.com/office/drawing/2014/chart" uri="{C3380CC4-5D6E-409C-BE32-E72D297353CC}">
              <c16:uniqueId val="{00000004-CE8D-4910-A5BD-A7D672BF8C1B}"/>
            </c:ext>
          </c:extLst>
        </c:ser>
        <c:ser>
          <c:idx val="5"/>
          <c:order val="5"/>
          <c:tx>
            <c:strRef>
              <c:f>'45 Neutral '!$N$13</c:f>
              <c:strCache>
                <c:ptCount val="1"/>
                <c:pt idx="0">
                  <c:v>Short Strangle</c:v>
                </c:pt>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'!$N$14:$N$44</c:f>
              <c:numCache>
                <c:formatCode>_-* #,##0.00_-;[Red]\(#,##0.00\);_-* "-"_-;_-@_-</c:formatCode>
                <c:ptCount val="31"/>
                <c:pt idx="0">
                  <c:v>-53.560667915050985</c:v>
                </c:pt>
                <c:pt idx="1">
                  <c:v>-48.560667915050985</c:v>
                </c:pt>
                <c:pt idx="2">
                  <c:v>-43.560667915050985</c:v>
                </c:pt>
                <c:pt idx="3">
                  <c:v>-38.560667915050985</c:v>
                </c:pt>
                <c:pt idx="4">
                  <c:v>-33.560667915050985</c:v>
                </c:pt>
                <c:pt idx="5">
                  <c:v>-28.560667915050985</c:v>
                </c:pt>
                <c:pt idx="6">
                  <c:v>-23.560667915050988</c:v>
                </c:pt>
                <c:pt idx="7">
                  <c:v>-18.560667915050988</c:v>
                </c:pt>
                <c:pt idx="8">
                  <c:v>-13.560667915050988</c:v>
                </c:pt>
                <c:pt idx="9">
                  <c:v>-8.5606679150509883</c:v>
                </c:pt>
                <c:pt idx="10">
                  <c:v>-3.5606679150509883</c:v>
                </c:pt>
                <c:pt idx="11">
                  <c:v>1.4393320849490117</c:v>
                </c:pt>
                <c:pt idx="12">
                  <c:v>6.4393320849490117</c:v>
                </c:pt>
                <c:pt idx="13">
                  <c:v>11.439332084949012</c:v>
                </c:pt>
                <c:pt idx="14">
                  <c:v>14.439332084949012</c:v>
                </c:pt>
                <c:pt idx="15">
                  <c:v>11.439332084949012</c:v>
                </c:pt>
                <c:pt idx="16">
                  <c:v>6.4393320849490117</c:v>
                </c:pt>
                <c:pt idx="17">
                  <c:v>1.4393320849490117</c:v>
                </c:pt>
                <c:pt idx="18">
                  <c:v>-3.5606679150509883</c:v>
                </c:pt>
                <c:pt idx="19">
                  <c:v>-8.5606679150509883</c:v>
                </c:pt>
                <c:pt idx="20">
                  <c:v>-13.560667915050988</c:v>
                </c:pt>
                <c:pt idx="21">
                  <c:v>-18.560667915050988</c:v>
                </c:pt>
                <c:pt idx="22">
                  <c:v>-23.560667915050988</c:v>
                </c:pt>
                <c:pt idx="23">
                  <c:v>-28.560667915050988</c:v>
                </c:pt>
                <c:pt idx="24">
                  <c:v>-33.560667915050985</c:v>
                </c:pt>
                <c:pt idx="25">
                  <c:v>-38.560667915050985</c:v>
                </c:pt>
                <c:pt idx="26">
                  <c:v>-43.560667915050985</c:v>
                </c:pt>
                <c:pt idx="27">
                  <c:v>-48.560667915050985</c:v>
                </c:pt>
                <c:pt idx="28">
                  <c:v>-53.560667915050985</c:v>
                </c:pt>
              </c:numCache>
            </c:numRef>
          </c:val>
          <c:smooth val="0"/>
          <c:extLst>
            <c:ext xmlns:c16="http://schemas.microsoft.com/office/drawing/2014/chart" uri="{C3380CC4-5D6E-409C-BE32-E72D297353CC}">
              <c16:uniqueId val="{00000005-CE8D-4910-A5BD-A7D672BF8C1B}"/>
            </c:ext>
          </c:extLst>
        </c:ser>
        <c:ser>
          <c:idx val="6"/>
          <c:order val="6"/>
          <c:tx>
            <c:strRef>
              <c:f>'45 Neutral '!$P$13</c:f>
              <c:strCache>
                <c:ptCount val="1"/>
                <c:pt idx="0">
                  <c:v>Short Straddle</c:v>
                </c:pt>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'!$P$14:$P$44</c:f>
              <c:numCache>
                <c:formatCode>_-* #,##0.00_-;[Red]\(#,##0.00\);_-* "-"_-;_-@_-</c:formatCode>
                <c:ptCount val="31"/>
                <c:pt idx="0">
                  <c:v>-53.652915788386935</c:v>
                </c:pt>
                <c:pt idx="1">
                  <c:v>-48.652915788386935</c:v>
                </c:pt>
                <c:pt idx="2">
                  <c:v>-43.652915788386935</c:v>
                </c:pt>
                <c:pt idx="3">
                  <c:v>-38.652915788386935</c:v>
                </c:pt>
                <c:pt idx="4">
                  <c:v>-33.652915788386935</c:v>
                </c:pt>
                <c:pt idx="5">
                  <c:v>-28.652915788386931</c:v>
                </c:pt>
                <c:pt idx="6">
                  <c:v>-23.652915788386931</c:v>
                </c:pt>
                <c:pt idx="7">
                  <c:v>-18.652915788386931</c:v>
                </c:pt>
                <c:pt idx="8">
                  <c:v>-13.652915788386931</c:v>
                </c:pt>
                <c:pt idx="9">
                  <c:v>-8.652915788386931</c:v>
                </c:pt>
                <c:pt idx="10">
                  <c:v>-3.652915788386931</c:v>
                </c:pt>
                <c:pt idx="11">
                  <c:v>1.347084211613069</c:v>
                </c:pt>
                <c:pt idx="12">
                  <c:v>6.347084211613069</c:v>
                </c:pt>
                <c:pt idx="13">
                  <c:v>11.347084211613069</c:v>
                </c:pt>
                <c:pt idx="14">
                  <c:v>16.347084211613069</c:v>
                </c:pt>
                <c:pt idx="15">
                  <c:v>11.347084211613069</c:v>
                </c:pt>
                <c:pt idx="16">
                  <c:v>6.347084211613069</c:v>
                </c:pt>
                <c:pt idx="17">
                  <c:v>1.347084211613069</c:v>
                </c:pt>
                <c:pt idx="18">
                  <c:v>-3.652915788386931</c:v>
                </c:pt>
                <c:pt idx="19">
                  <c:v>-8.652915788386931</c:v>
                </c:pt>
                <c:pt idx="20">
                  <c:v>-13.652915788386931</c:v>
                </c:pt>
                <c:pt idx="21">
                  <c:v>-18.652915788386931</c:v>
                </c:pt>
                <c:pt idx="22">
                  <c:v>-23.652915788386927</c:v>
                </c:pt>
                <c:pt idx="23">
                  <c:v>-28.652915788386927</c:v>
                </c:pt>
                <c:pt idx="24">
                  <c:v>-33.652915788386927</c:v>
                </c:pt>
                <c:pt idx="25">
                  <c:v>-38.652915788386927</c:v>
                </c:pt>
                <c:pt idx="26">
                  <c:v>-43.652915788386927</c:v>
                </c:pt>
                <c:pt idx="27">
                  <c:v>-48.652915788386927</c:v>
                </c:pt>
                <c:pt idx="28">
                  <c:v>-53.652915788386927</c:v>
                </c:pt>
              </c:numCache>
            </c:numRef>
          </c:val>
          <c:smooth val="0"/>
          <c:extLst>
            <c:ext xmlns:c16="http://schemas.microsoft.com/office/drawing/2014/chart" uri="{C3380CC4-5D6E-409C-BE32-E72D297353CC}">
              <c16:uniqueId val="{00000006-CE8D-4910-A5BD-A7D672BF8C1B}"/>
            </c:ext>
          </c:extLst>
        </c:ser>
        <c:ser>
          <c:idx val="7"/>
          <c:order val="7"/>
          <c:tx>
            <c:strRef>
              <c:f>'45 Neutral '!$R$13</c:f>
              <c:strCache>
                <c:ptCount val="1"/>
                <c:pt idx="0">
                  <c:v>Short Guts</c:v>
                </c:pt>
              </c:strCache>
            </c:strRef>
          </c:tx>
          <c:spPr>
            <a:ln w="28575"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'!$R$14:$R$44</c:f>
              <c:numCache>
                <c:formatCode>_-* #,##0.00_-;[Red]\(#,##0.00\);_-* "-"_-;_-@_-</c:formatCode>
                <c:ptCount val="31"/>
                <c:pt idx="0">
                  <c:v>-53.600468580054311</c:v>
                </c:pt>
                <c:pt idx="1">
                  <c:v>-48.600468580054311</c:v>
                </c:pt>
                <c:pt idx="2">
                  <c:v>-43.600468580054311</c:v>
                </c:pt>
                <c:pt idx="3">
                  <c:v>-38.600468580054311</c:v>
                </c:pt>
                <c:pt idx="4">
                  <c:v>-33.600468580054311</c:v>
                </c:pt>
                <c:pt idx="5">
                  <c:v>-28.600468580054311</c:v>
                </c:pt>
                <c:pt idx="6">
                  <c:v>-23.600468580054311</c:v>
                </c:pt>
                <c:pt idx="7">
                  <c:v>-18.600468580054311</c:v>
                </c:pt>
                <c:pt idx="8">
                  <c:v>-13.600468580054311</c:v>
                </c:pt>
                <c:pt idx="9">
                  <c:v>-8.6004685800543115</c:v>
                </c:pt>
                <c:pt idx="10">
                  <c:v>-3.6004685800543115</c:v>
                </c:pt>
                <c:pt idx="11">
                  <c:v>1.3995314199456885</c:v>
                </c:pt>
                <c:pt idx="12">
                  <c:v>6.3995314199456885</c:v>
                </c:pt>
                <c:pt idx="13">
                  <c:v>11.399531419945689</c:v>
                </c:pt>
                <c:pt idx="14">
                  <c:v>14.399531419945689</c:v>
                </c:pt>
                <c:pt idx="15">
                  <c:v>11.399531419945689</c:v>
                </c:pt>
                <c:pt idx="16">
                  <c:v>6.3995314199456885</c:v>
                </c:pt>
                <c:pt idx="17">
                  <c:v>1.3995314199456885</c:v>
                </c:pt>
                <c:pt idx="18">
                  <c:v>-3.6004685800543115</c:v>
                </c:pt>
                <c:pt idx="19">
                  <c:v>-8.6004685800543115</c:v>
                </c:pt>
                <c:pt idx="20">
                  <c:v>-13.600468580054311</c:v>
                </c:pt>
                <c:pt idx="21">
                  <c:v>-18.600468580054311</c:v>
                </c:pt>
                <c:pt idx="22">
                  <c:v>-23.600468580054311</c:v>
                </c:pt>
                <c:pt idx="23">
                  <c:v>-28.600468580054311</c:v>
                </c:pt>
                <c:pt idx="24">
                  <c:v>-33.600468580054311</c:v>
                </c:pt>
                <c:pt idx="25">
                  <c:v>-38.600468580054311</c:v>
                </c:pt>
                <c:pt idx="26">
                  <c:v>-43.600468580054311</c:v>
                </c:pt>
                <c:pt idx="27">
                  <c:v>-48.600468580054311</c:v>
                </c:pt>
                <c:pt idx="28">
                  <c:v>-53.600468580054304</c:v>
                </c:pt>
              </c:numCache>
            </c:numRef>
          </c:val>
          <c:smooth val="0"/>
          <c:extLst>
            <c:ext xmlns:c16="http://schemas.microsoft.com/office/drawing/2014/chart" uri="{C3380CC4-5D6E-409C-BE32-E72D297353CC}">
              <c16:uniqueId val="{00000007-CE8D-4910-A5BD-A7D672BF8C1B}"/>
            </c:ext>
          </c:extLst>
        </c:ser>
        <c:ser>
          <c:idx val="8"/>
          <c:order val="8"/>
          <c:tx>
            <c:strRef>
              <c:f>'45 Neutral '!$T$13</c:f>
              <c:strCache>
                <c:ptCount val="1"/>
                <c:pt idx="0">
                  <c:v>Short Condor Strategie</c:v>
                </c:pt>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'!$T$14:$T$44</c:f>
              <c:numCache>
                <c:formatCode>_-* #,##0.00_-;[Red]\(#,##0.00\);_-* "-"_-;_-@_-</c:formatCode>
                <c:ptCount val="31"/>
                <c:pt idx="0">
                  <c:v>0.21804285858598682</c:v>
                </c:pt>
                <c:pt idx="1">
                  <c:v>0.21804285858598682</c:v>
                </c:pt>
                <c:pt idx="2">
                  <c:v>0.21804285858598682</c:v>
                </c:pt>
                <c:pt idx="3">
                  <c:v>0.21804285858598682</c:v>
                </c:pt>
                <c:pt idx="4">
                  <c:v>0.21804285858598682</c:v>
                </c:pt>
                <c:pt idx="5">
                  <c:v>0.21804285858598682</c:v>
                </c:pt>
                <c:pt idx="6">
                  <c:v>0.21804285858598682</c:v>
                </c:pt>
                <c:pt idx="7">
                  <c:v>0.21804285858598682</c:v>
                </c:pt>
                <c:pt idx="8">
                  <c:v>0.21804285858598682</c:v>
                </c:pt>
                <c:pt idx="9">
                  <c:v>0.21804285858598682</c:v>
                </c:pt>
                <c:pt idx="10">
                  <c:v>0.21804285858598682</c:v>
                </c:pt>
                <c:pt idx="11">
                  <c:v>0.21804285858598682</c:v>
                </c:pt>
                <c:pt idx="12">
                  <c:v>0.21804285858598682</c:v>
                </c:pt>
                <c:pt idx="13">
                  <c:v>0.21804285858598682</c:v>
                </c:pt>
                <c:pt idx="14">
                  <c:v>-1.7819571414140141</c:v>
                </c:pt>
                <c:pt idx="15">
                  <c:v>0.21804285858598593</c:v>
                </c:pt>
                <c:pt idx="16">
                  <c:v>0.21804285858598593</c:v>
                </c:pt>
                <c:pt idx="17">
                  <c:v>0.21804285858598682</c:v>
                </c:pt>
                <c:pt idx="18">
                  <c:v>0.21804285858598682</c:v>
                </c:pt>
                <c:pt idx="19">
                  <c:v>0.2180428585859886</c:v>
                </c:pt>
                <c:pt idx="20">
                  <c:v>0.2180428585859886</c:v>
                </c:pt>
                <c:pt idx="21">
                  <c:v>0.2180428585859886</c:v>
                </c:pt>
                <c:pt idx="22">
                  <c:v>0.21804285858598149</c:v>
                </c:pt>
                <c:pt idx="23">
                  <c:v>0.21804285858598149</c:v>
                </c:pt>
                <c:pt idx="24">
                  <c:v>0.21804285858598149</c:v>
                </c:pt>
                <c:pt idx="25">
                  <c:v>0.21804285858598149</c:v>
                </c:pt>
                <c:pt idx="26">
                  <c:v>0.21804285858598149</c:v>
                </c:pt>
                <c:pt idx="27">
                  <c:v>0.21804285858598149</c:v>
                </c:pt>
                <c:pt idx="28">
                  <c:v>0.2180428585859886</c:v>
                </c:pt>
              </c:numCache>
            </c:numRef>
          </c:val>
          <c:smooth val="0"/>
          <c:extLst>
            <c:ext xmlns:c16="http://schemas.microsoft.com/office/drawing/2014/chart" uri="{C3380CC4-5D6E-409C-BE32-E72D297353CC}">
              <c16:uniqueId val="{00000008-CE8D-4910-A5BD-A7D672BF8C1B}"/>
            </c:ext>
          </c:extLst>
        </c:ser>
        <c:ser>
          <c:idx val="9"/>
          <c:order val="9"/>
          <c:tx>
            <c:strRef>
              <c:f>'45 Neutral '!$V$13</c:f>
              <c:strCache>
                <c:ptCount val="1"/>
                <c:pt idx="0">
                  <c:v>Short Call Butterfly</c:v>
                </c:pt>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'!$V$14:$V$44</c:f>
              <c:numCache>
                <c:formatCode>_-* #,##0.00_-;[Red]\(#,##0.00\);_-* "-"_-;_-@_-</c:formatCode>
                <c:ptCount val="31"/>
                <c:pt idx="0">
                  <c:v>7.2347540834272195E-2</c:v>
                </c:pt>
                <c:pt idx="1">
                  <c:v>7.2347540834272195E-2</c:v>
                </c:pt>
                <c:pt idx="2">
                  <c:v>7.2347540834272195E-2</c:v>
                </c:pt>
                <c:pt idx="3">
                  <c:v>7.2347540834272195E-2</c:v>
                </c:pt>
                <c:pt idx="4">
                  <c:v>7.2347540834272195E-2</c:v>
                </c:pt>
                <c:pt idx="5">
                  <c:v>7.2347540834272195E-2</c:v>
                </c:pt>
                <c:pt idx="6">
                  <c:v>7.2347540834272195E-2</c:v>
                </c:pt>
                <c:pt idx="7">
                  <c:v>7.2347540834272195E-2</c:v>
                </c:pt>
                <c:pt idx="8">
                  <c:v>7.2347540834272195E-2</c:v>
                </c:pt>
                <c:pt idx="9">
                  <c:v>7.2347540834272195E-2</c:v>
                </c:pt>
                <c:pt idx="10">
                  <c:v>7.2347540834272195E-2</c:v>
                </c:pt>
                <c:pt idx="11">
                  <c:v>7.2347540834272195E-2</c:v>
                </c:pt>
                <c:pt idx="12">
                  <c:v>7.2347540834272195E-2</c:v>
                </c:pt>
                <c:pt idx="13">
                  <c:v>7.2347540834272195E-2</c:v>
                </c:pt>
                <c:pt idx="14">
                  <c:v>-1.9276524591657278</c:v>
                </c:pt>
                <c:pt idx="15">
                  <c:v>7.2347540834272195E-2</c:v>
                </c:pt>
                <c:pt idx="16">
                  <c:v>7.2347540834272195E-2</c:v>
                </c:pt>
                <c:pt idx="17">
                  <c:v>7.2347540834272195E-2</c:v>
                </c:pt>
                <c:pt idx="18">
                  <c:v>7.2347540834272195E-2</c:v>
                </c:pt>
                <c:pt idx="19">
                  <c:v>7.2347540834272195E-2</c:v>
                </c:pt>
                <c:pt idx="20">
                  <c:v>7.2347540834272195E-2</c:v>
                </c:pt>
                <c:pt idx="21">
                  <c:v>7.2347540834272195E-2</c:v>
                </c:pt>
                <c:pt idx="22">
                  <c:v>7.2347540834265089E-2</c:v>
                </c:pt>
                <c:pt idx="23">
                  <c:v>7.2347540834265089E-2</c:v>
                </c:pt>
                <c:pt idx="24">
                  <c:v>7.2347540834265089E-2</c:v>
                </c:pt>
                <c:pt idx="25">
                  <c:v>7.2347540834265089E-2</c:v>
                </c:pt>
                <c:pt idx="26">
                  <c:v>7.2347540834265089E-2</c:v>
                </c:pt>
                <c:pt idx="27">
                  <c:v>7.2347540834265089E-2</c:v>
                </c:pt>
                <c:pt idx="28">
                  <c:v>7.2347540834272195E-2</c:v>
                </c:pt>
              </c:numCache>
            </c:numRef>
          </c:val>
          <c:smooth val="0"/>
          <c:extLst>
            <c:ext xmlns:c16="http://schemas.microsoft.com/office/drawing/2014/chart" uri="{C3380CC4-5D6E-409C-BE32-E72D297353CC}">
              <c16:uniqueId val="{00000009-CE8D-4910-A5BD-A7D672BF8C1B}"/>
            </c:ext>
          </c:extLst>
        </c:ser>
        <c:ser>
          <c:idx val="10"/>
          <c:order val="10"/>
          <c:tx>
            <c:strRef>
              <c:f>'45 Neutral '!$X$13</c:f>
              <c:strCache>
                <c:ptCount val="1"/>
                <c:pt idx="0">
                  <c:v>Short Put Butterfly</c:v>
                </c:pt>
              </c:strCache>
            </c:strRef>
          </c:tx>
          <c:spPr>
            <a:ln w="28575"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'!$X$14:$X$44</c:f>
              <c:numCache>
                <c:formatCode>_-* #,##0.00_-;[Red]\(#,##0.00\);_-* "-"_-;_-@_-</c:formatCode>
                <c:ptCount val="31"/>
                <c:pt idx="0">
                  <c:v>7.2347540834293511E-2</c:v>
                </c:pt>
                <c:pt idx="1">
                  <c:v>7.2347540834293511E-2</c:v>
                </c:pt>
                <c:pt idx="2">
                  <c:v>7.2347540834293511E-2</c:v>
                </c:pt>
                <c:pt idx="3">
                  <c:v>7.2347540834293511E-2</c:v>
                </c:pt>
                <c:pt idx="4">
                  <c:v>7.2347540834293511E-2</c:v>
                </c:pt>
                <c:pt idx="5">
                  <c:v>7.2347540834293511E-2</c:v>
                </c:pt>
                <c:pt idx="6">
                  <c:v>7.2347540834289958E-2</c:v>
                </c:pt>
                <c:pt idx="7">
                  <c:v>7.2347540834289958E-2</c:v>
                </c:pt>
                <c:pt idx="8">
                  <c:v>7.2347540834289958E-2</c:v>
                </c:pt>
                <c:pt idx="9">
                  <c:v>7.2347540834289958E-2</c:v>
                </c:pt>
                <c:pt idx="10">
                  <c:v>7.2347540834289958E-2</c:v>
                </c:pt>
                <c:pt idx="11">
                  <c:v>7.2347540834289958E-2</c:v>
                </c:pt>
                <c:pt idx="12">
                  <c:v>7.2347540834289958E-2</c:v>
                </c:pt>
                <c:pt idx="13">
                  <c:v>7.2347540834289958E-2</c:v>
                </c:pt>
                <c:pt idx="14">
                  <c:v>-1.92765245916571</c:v>
                </c:pt>
                <c:pt idx="15">
                  <c:v>7.2347540834289958E-2</c:v>
                </c:pt>
                <c:pt idx="16">
                  <c:v>7.2347540834289958E-2</c:v>
                </c:pt>
                <c:pt idx="17">
                  <c:v>7.2347540834289958E-2</c:v>
                </c:pt>
                <c:pt idx="18">
                  <c:v>7.2347540834289958E-2</c:v>
                </c:pt>
                <c:pt idx="19">
                  <c:v>7.2347540834289958E-2</c:v>
                </c:pt>
                <c:pt idx="20">
                  <c:v>7.2347540834289958E-2</c:v>
                </c:pt>
                <c:pt idx="21">
                  <c:v>7.2347540834289958E-2</c:v>
                </c:pt>
                <c:pt idx="22">
                  <c:v>7.2347540834289958E-2</c:v>
                </c:pt>
                <c:pt idx="23">
                  <c:v>7.2347540834289958E-2</c:v>
                </c:pt>
                <c:pt idx="24">
                  <c:v>7.2347540834289958E-2</c:v>
                </c:pt>
                <c:pt idx="25">
                  <c:v>7.2347540834289958E-2</c:v>
                </c:pt>
                <c:pt idx="26">
                  <c:v>7.2347540834289958E-2</c:v>
                </c:pt>
                <c:pt idx="27">
                  <c:v>7.2347540834289958E-2</c:v>
                </c:pt>
                <c:pt idx="28">
                  <c:v>7.2347540834289958E-2</c:v>
                </c:pt>
              </c:numCache>
            </c:numRef>
          </c:val>
          <c:smooth val="0"/>
          <c:extLst>
            <c:ext xmlns:c16="http://schemas.microsoft.com/office/drawing/2014/chart" uri="{C3380CC4-5D6E-409C-BE32-E72D297353CC}">
              <c16:uniqueId val="{0000000A-CE8D-4910-A5BD-A7D672BF8C1B}"/>
            </c:ext>
          </c:extLst>
        </c:ser>
        <c:ser>
          <c:idx val="11"/>
          <c:order val="11"/>
          <c:tx>
            <c:strRef>
              <c:f>'45 Neutral '!$Z$13</c:f>
              <c:strCache>
                <c:ptCount val="1"/>
                <c:pt idx="0">
                  <c:v>Short Call Ladder</c:v>
                </c:pt>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'!$Z$14:$Z$44</c:f>
              <c:numCache>
                <c:formatCode>_-* #,##0.00_-;[Red]\(#,##0.00\);_-* "-"_-;_-@_-</c:formatCode>
                <c:ptCount val="31"/>
                <c:pt idx="0">
                  <c:v>-5.3175024739250638</c:v>
                </c:pt>
                <c:pt idx="1">
                  <c:v>-5.3175024739250638</c:v>
                </c:pt>
                <c:pt idx="2">
                  <c:v>-5.3175024739250638</c:v>
                </c:pt>
                <c:pt idx="3">
                  <c:v>-5.3175024739250638</c:v>
                </c:pt>
                <c:pt idx="4">
                  <c:v>-5.3175024739250638</c:v>
                </c:pt>
                <c:pt idx="5">
                  <c:v>-5.3175024739250638</c:v>
                </c:pt>
                <c:pt idx="6">
                  <c:v>-5.3175024739250638</c:v>
                </c:pt>
                <c:pt idx="7">
                  <c:v>-5.3175024739250638</c:v>
                </c:pt>
                <c:pt idx="8">
                  <c:v>-5.3175024739250638</c:v>
                </c:pt>
                <c:pt idx="9">
                  <c:v>-5.3175024739250638</c:v>
                </c:pt>
                <c:pt idx="10">
                  <c:v>-5.3175024739250638</c:v>
                </c:pt>
                <c:pt idx="11">
                  <c:v>-5.3175024739250638</c:v>
                </c:pt>
                <c:pt idx="12">
                  <c:v>-5.3175024739250638</c:v>
                </c:pt>
                <c:pt idx="13">
                  <c:v>-5.3175024739250638</c:v>
                </c:pt>
                <c:pt idx="14">
                  <c:v>-7.3175024739250638</c:v>
                </c:pt>
                <c:pt idx="15">
                  <c:v>-4.3175024739250638</c:v>
                </c:pt>
                <c:pt idx="16">
                  <c:v>0.68249752607493619</c:v>
                </c:pt>
                <c:pt idx="17">
                  <c:v>5.6824975260749362</c:v>
                </c:pt>
                <c:pt idx="18">
                  <c:v>10.682497526074936</c:v>
                </c:pt>
                <c:pt idx="19">
                  <c:v>15.682497526074933</c:v>
                </c:pt>
                <c:pt idx="20">
                  <c:v>20.682497526074933</c:v>
                </c:pt>
                <c:pt idx="21">
                  <c:v>25.682497526074933</c:v>
                </c:pt>
                <c:pt idx="22">
                  <c:v>30.682497526074933</c:v>
                </c:pt>
                <c:pt idx="23">
                  <c:v>35.682497526074933</c:v>
                </c:pt>
                <c:pt idx="24">
                  <c:v>40.682497526074933</c:v>
                </c:pt>
                <c:pt idx="25">
                  <c:v>45.682497526074933</c:v>
                </c:pt>
                <c:pt idx="26">
                  <c:v>50.682497526074933</c:v>
                </c:pt>
                <c:pt idx="27">
                  <c:v>55.682497526074933</c:v>
                </c:pt>
                <c:pt idx="28">
                  <c:v>60.68249752607494</c:v>
                </c:pt>
              </c:numCache>
            </c:numRef>
          </c:val>
          <c:smooth val="0"/>
          <c:extLst>
            <c:ext xmlns:c16="http://schemas.microsoft.com/office/drawing/2014/chart" uri="{C3380CC4-5D6E-409C-BE32-E72D297353CC}">
              <c16:uniqueId val="{0000000B-CE8D-4910-A5BD-A7D672BF8C1B}"/>
            </c:ext>
          </c:extLst>
        </c:ser>
        <c:ser>
          <c:idx val="12"/>
          <c:order val="12"/>
          <c:tx>
            <c:strRef>
              <c:f>'45 Neutral '!$AB$13</c:f>
              <c:strCache>
                <c:ptCount val="1"/>
                <c:pt idx="0">
                  <c:v>Short Put Ladder</c:v>
                </c:pt>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'!$AB$14:$AB$44</c:f>
              <c:numCache>
                <c:formatCode>_-* #,##0.00_-;[Red]\(#,##0.00\);_-* "-"_-;_-@_-</c:formatCode>
                <c:ptCount val="31"/>
                <c:pt idx="0">
                  <c:v>58.930617597308661</c:v>
                </c:pt>
                <c:pt idx="1">
                  <c:v>53.930617597308661</c:v>
                </c:pt>
                <c:pt idx="2">
                  <c:v>48.930617597308661</c:v>
                </c:pt>
                <c:pt idx="3">
                  <c:v>43.930617597308661</c:v>
                </c:pt>
                <c:pt idx="4">
                  <c:v>38.930617597308661</c:v>
                </c:pt>
                <c:pt idx="5">
                  <c:v>33.930617597308661</c:v>
                </c:pt>
                <c:pt idx="6">
                  <c:v>28.930617597308675</c:v>
                </c:pt>
                <c:pt idx="7">
                  <c:v>23.930617597308675</c:v>
                </c:pt>
                <c:pt idx="8">
                  <c:v>18.930617597308675</c:v>
                </c:pt>
                <c:pt idx="9">
                  <c:v>13.930617597308672</c:v>
                </c:pt>
                <c:pt idx="10">
                  <c:v>8.9306175973086717</c:v>
                </c:pt>
                <c:pt idx="11">
                  <c:v>3.9306175973086717</c:v>
                </c:pt>
                <c:pt idx="12">
                  <c:v>-1.0693824026913283</c:v>
                </c:pt>
                <c:pt idx="13">
                  <c:v>-6.0693824026913283</c:v>
                </c:pt>
                <c:pt idx="14">
                  <c:v>-9.0693824026913283</c:v>
                </c:pt>
                <c:pt idx="15">
                  <c:v>-7.0693824026913283</c:v>
                </c:pt>
                <c:pt idx="16">
                  <c:v>-7.0693824026913283</c:v>
                </c:pt>
                <c:pt idx="17">
                  <c:v>-7.0693824026913283</c:v>
                </c:pt>
                <c:pt idx="18">
                  <c:v>-7.0693824026913283</c:v>
                </c:pt>
                <c:pt idx="19">
                  <c:v>-7.0693824026913283</c:v>
                </c:pt>
                <c:pt idx="20">
                  <c:v>-7.0693824026913283</c:v>
                </c:pt>
                <c:pt idx="21">
                  <c:v>-7.0693824026913283</c:v>
                </c:pt>
                <c:pt idx="22">
                  <c:v>-7.0693824026913283</c:v>
                </c:pt>
                <c:pt idx="23">
                  <c:v>-7.0693824026913283</c:v>
                </c:pt>
                <c:pt idx="24">
                  <c:v>-7.0693824026913283</c:v>
                </c:pt>
                <c:pt idx="25">
                  <c:v>-7.0693824026913283</c:v>
                </c:pt>
                <c:pt idx="26">
                  <c:v>-7.0693824026913283</c:v>
                </c:pt>
                <c:pt idx="27">
                  <c:v>-7.0693824026913283</c:v>
                </c:pt>
                <c:pt idx="28">
                  <c:v>-7.0693824026913283</c:v>
                </c:pt>
              </c:numCache>
            </c:numRef>
          </c:val>
          <c:smooth val="0"/>
          <c:extLst>
            <c:ext xmlns:c16="http://schemas.microsoft.com/office/drawing/2014/chart" uri="{C3380CC4-5D6E-409C-BE32-E72D297353CC}">
              <c16:uniqueId val="{0000000C-CE8D-4910-A5BD-A7D672BF8C1B}"/>
            </c:ext>
          </c:extLst>
        </c:ser>
        <c:ser>
          <c:idx val="13"/>
          <c:order val="13"/>
          <c:tx>
            <c:strRef>
              <c:f>'45 Neutral '!$AD$13</c:f>
              <c:strCache>
                <c:ptCount val="1"/>
                <c:pt idx="0">
                  <c:v>Long Strangle</c:v>
                </c:pt>
              </c:strCache>
            </c:strRef>
          </c:tx>
          <c:spPr>
            <a:ln w="28575" cap="rnd">
              <a:solidFill>
                <a:schemeClr val="accent2">
                  <a:lumMod val="80000"/>
                  <a:lumOff val="20000"/>
                </a:schemeClr>
              </a:solidFill>
              <a:round/>
            </a:ln>
            <a:effectLst/>
          </c:spPr>
          <c:marker>
            <c:symbol val="circle"/>
            <c:size val="5"/>
            <c:spPr>
              <a:solidFill>
                <a:schemeClr val="accent2">
                  <a:lumMod val="80000"/>
                  <a:lumOff val="20000"/>
                </a:schemeClr>
              </a:solidFill>
              <a:ln w="9525">
                <a:solidFill>
                  <a:schemeClr val="accent2">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'!$AD$14:$AD$44</c:f>
              <c:numCache>
                <c:formatCode>_-* #,##0.00_-;[Red]\(#,##0.00\);_-* "-"_-;_-@_-</c:formatCode>
                <c:ptCount val="31"/>
                <c:pt idx="0">
                  <c:v>53.560667915050985</c:v>
                </c:pt>
                <c:pt idx="1">
                  <c:v>48.560667915050985</c:v>
                </c:pt>
                <c:pt idx="2">
                  <c:v>43.560667915050985</c:v>
                </c:pt>
                <c:pt idx="3">
                  <c:v>38.560667915050985</c:v>
                </c:pt>
                <c:pt idx="4">
                  <c:v>33.560667915050985</c:v>
                </c:pt>
                <c:pt idx="5">
                  <c:v>28.560667915050985</c:v>
                </c:pt>
                <c:pt idx="6">
                  <c:v>23.560667915050988</c:v>
                </c:pt>
                <c:pt idx="7">
                  <c:v>18.560667915050988</c:v>
                </c:pt>
                <c:pt idx="8">
                  <c:v>13.560667915050988</c:v>
                </c:pt>
                <c:pt idx="9">
                  <c:v>8.5606679150509883</c:v>
                </c:pt>
                <c:pt idx="10">
                  <c:v>3.5606679150509883</c:v>
                </c:pt>
                <c:pt idx="11">
                  <c:v>-1.4393320849490117</c:v>
                </c:pt>
                <c:pt idx="12">
                  <c:v>-6.4393320849490117</c:v>
                </c:pt>
                <c:pt idx="13">
                  <c:v>-11.439332084949012</c:v>
                </c:pt>
                <c:pt idx="14">
                  <c:v>-14.439332084949012</c:v>
                </c:pt>
                <c:pt idx="15">
                  <c:v>-11.439332084949012</c:v>
                </c:pt>
                <c:pt idx="16">
                  <c:v>-6.4393320849490117</c:v>
                </c:pt>
                <c:pt idx="17">
                  <c:v>-1.4393320849490117</c:v>
                </c:pt>
                <c:pt idx="18">
                  <c:v>3.5606679150509883</c:v>
                </c:pt>
                <c:pt idx="19">
                  <c:v>8.5606679150509883</c:v>
                </c:pt>
                <c:pt idx="20">
                  <c:v>13.560667915050988</c:v>
                </c:pt>
                <c:pt idx="21">
                  <c:v>18.560667915050988</c:v>
                </c:pt>
                <c:pt idx="22">
                  <c:v>23.560667915050988</c:v>
                </c:pt>
                <c:pt idx="23">
                  <c:v>28.560667915050988</c:v>
                </c:pt>
                <c:pt idx="24">
                  <c:v>33.560667915050985</c:v>
                </c:pt>
                <c:pt idx="25">
                  <c:v>38.560667915050985</c:v>
                </c:pt>
                <c:pt idx="26">
                  <c:v>43.560667915050985</c:v>
                </c:pt>
                <c:pt idx="27">
                  <c:v>48.560667915050985</c:v>
                </c:pt>
                <c:pt idx="28">
                  <c:v>53.560667915050985</c:v>
                </c:pt>
              </c:numCache>
            </c:numRef>
          </c:val>
          <c:smooth val="0"/>
          <c:extLst>
            <c:ext xmlns:c16="http://schemas.microsoft.com/office/drawing/2014/chart" uri="{C3380CC4-5D6E-409C-BE32-E72D297353CC}">
              <c16:uniqueId val="{0000000D-CE8D-4910-A5BD-A7D672BF8C1B}"/>
            </c:ext>
          </c:extLst>
        </c:ser>
        <c:ser>
          <c:idx val="14"/>
          <c:order val="14"/>
          <c:tx>
            <c:strRef>
              <c:f>'45 Neutral '!$AF$13</c:f>
              <c:strCache>
                <c:ptCount val="1"/>
                <c:pt idx="0">
                  <c:v>Long Straddle</c:v>
                </c:pt>
              </c:strCache>
            </c:strRef>
          </c:tx>
          <c:spPr>
            <a:ln w="28575" cap="rnd">
              <a:solidFill>
                <a:schemeClr val="accent3">
                  <a:lumMod val="80000"/>
                  <a:lumOff val="20000"/>
                </a:schemeClr>
              </a:solidFill>
              <a:round/>
            </a:ln>
            <a:effectLst/>
          </c:spPr>
          <c:marker>
            <c:symbol val="circle"/>
            <c:size val="5"/>
            <c:spPr>
              <a:solidFill>
                <a:schemeClr val="accent3">
                  <a:lumMod val="80000"/>
                  <a:lumOff val="20000"/>
                </a:schemeClr>
              </a:solidFill>
              <a:ln w="9525">
                <a:solidFill>
                  <a:schemeClr val="accent3">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'!$AF$14:$AF$44</c:f>
              <c:numCache>
                <c:formatCode>_-* #,##0.00_-;[Red]\(#,##0.00\);_-* "-"_-;_-@_-</c:formatCode>
                <c:ptCount val="31"/>
                <c:pt idx="0">
                  <c:v>53.652915788386935</c:v>
                </c:pt>
                <c:pt idx="1">
                  <c:v>48.652915788386935</c:v>
                </c:pt>
                <c:pt idx="2">
                  <c:v>43.652915788386935</c:v>
                </c:pt>
                <c:pt idx="3">
                  <c:v>38.652915788386935</c:v>
                </c:pt>
                <c:pt idx="4">
                  <c:v>33.652915788386935</c:v>
                </c:pt>
                <c:pt idx="5">
                  <c:v>28.652915788386931</c:v>
                </c:pt>
                <c:pt idx="6">
                  <c:v>23.652915788386931</c:v>
                </c:pt>
                <c:pt idx="7">
                  <c:v>18.652915788386931</c:v>
                </c:pt>
                <c:pt idx="8">
                  <c:v>13.652915788386931</c:v>
                </c:pt>
                <c:pt idx="9">
                  <c:v>8.652915788386931</c:v>
                </c:pt>
                <c:pt idx="10">
                  <c:v>3.652915788386931</c:v>
                </c:pt>
                <c:pt idx="11">
                  <c:v>-1.347084211613069</c:v>
                </c:pt>
                <c:pt idx="12">
                  <c:v>-6.347084211613069</c:v>
                </c:pt>
                <c:pt idx="13">
                  <c:v>-11.347084211613069</c:v>
                </c:pt>
                <c:pt idx="14">
                  <c:v>-16.347084211613069</c:v>
                </c:pt>
                <c:pt idx="15">
                  <c:v>-11.347084211613069</c:v>
                </c:pt>
                <c:pt idx="16">
                  <c:v>-6.347084211613069</c:v>
                </c:pt>
                <c:pt idx="17">
                  <c:v>-1.347084211613069</c:v>
                </c:pt>
                <c:pt idx="18">
                  <c:v>3.652915788386931</c:v>
                </c:pt>
                <c:pt idx="19">
                  <c:v>8.652915788386931</c:v>
                </c:pt>
                <c:pt idx="20">
                  <c:v>13.652915788386931</c:v>
                </c:pt>
                <c:pt idx="21">
                  <c:v>18.652915788386931</c:v>
                </c:pt>
                <c:pt idx="22">
                  <c:v>23.652915788386927</c:v>
                </c:pt>
                <c:pt idx="23">
                  <c:v>28.652915788386927</c:v>
                </c:pt>
                <c:pt idx="24">
                  <c:v>33.652915788386927</c:v>
                </c:pt>
                <c:pt idx="25">
                  <c:v>38.652915788386927</c:v>
                </c:pt>
                <c:pt idx="26">
                  <c:v>43.652915788386927</c:v>
                </c:pt>
                <c:pt idx="27">
                  <c:v>48.652915788386927</c:v>
                </c:pt>
                <c:pt idx="28">
                  <c:v>53.652915788386927</c:v>
                </c:pt>
              </c:numCache>
            </c:numRef>
          </c:val>
          <c:smooth val="0"/>
          <c:extLst>
            <c:ext xmlns:c16="http://schemas.microsoft.com/office/drawing/2014/chart" uri="{C3380CC4-5D6E-409C-BE32-E72D297353CC}">
              <c16:uniqueId val="{0000000E-CE8D-4910-A5BD-A7D672BF8C1B}"/>
            </c:ext>
          </c:extLst>
        </c:ser>
        <c:ser>
          <c:idx val="15"/>
          <c:order val="15"/>
          <c:tx>
            <c:strRef>
              <c:f>'45 Neutral '!$AH$13</c:f>
              <c:strCache>
                <c:ptCount val="1"/>
                <c:pt idx="0">
                  <c:v>Strip</c:v>
                </c:pt>
              </c:strCache>
            </c:strRef>
          </c:tx>
          <c:spPr>
            <a:ln w="28575" cap="rnd">
              <a:solidFill>
                <a:schemeClr val="accent4">
                  <a:lumMod val="80000"/>
                  <a:lumOff val="20000"/>
                </a:schemeClr>
              </a:solidFill>
              <a:round/>
            </a:ln>
            <a:effectLst/>
          </c:spPr>
          <c:marker>
            <c:symbol val="circle"/>
            <c:size val="5"/>
            <c:spPr>
              <a:solidFill>
                <a:schemeClr val="accent4">
                  <a:lumMod val="80000"/>
                  <a:lumOff val="20000"/>
                </a:schemeClr>
              </a:solidFill>
              <a:ln w="9525">
                <a:solidFill>
                  <a:schemeClr val="accent4">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'!$AH$14:$AH$44</c:f>
              <c:numCache>
                <c:formatCode>_-* #,##0.00_-;[Red]\(#,##0.00\);_-* "-"_-;_-@_-</c:formatCode>
                <c:ptCount val="31"/>
                <c:pt idx="0">
                  <c:v>114.17063637706373</c:v>
                </c:pt>
                <c:pt idx="1">
                  <c:v>104.17063637706373</c:v>
                </c:pt>
                <c:pt idx="2">
                  <c:v>94.17063637706373</c:v>
                </c:pt>
                <c:pt idx="3">
                  <c:v>84.17063637706373</c:v>
                </c:pt>
                <c:pt idx="4">
                  <c:v>74.17063637706373</c:v>
                </c:pt>
                <c:pt idx="5">
                  <c:v>64.17063637706373</c:v>
                </c:pt>
                <c:pt idx="6">
                  <c:v>54.17063637706373</c:v>
                </c:pt>
                <c:pt idx="7">
                  <c:v>44.17063637706373</c:v>
                </c:pt>
                <c:pt idx="8">
                  <c:v>34.17063637706373</c:v>
                </c:pt>
                <c:pt idx="9">
                  <c:v>24.170636377063733</c:v>
                </c:pt>
                <c:pt idx="10">
                  <c:v>14.170636377063733</c:v>
                </c:pt>
                <c:pt idx="11">
                  <c:v>4.1706363770637331</c:v>
                </c:pt>
                <c:pt idx="12">
                  <c:v>-5.8293636229362669</c:v>
                </c:pt>
                <c:pt idx="13">
                  <c:v>-15.829363622936267</c:v>
                </c:pt>
                <c:pt idx="14">
                  <c:v>-25.829363622936267</c:v>
                </c:pt>
                <c:pt idx="15">
                  <c:v>-20.829363622936267</c:v>
                </c:pt>
                <c:pt idx="16">
                  <c:v>-15.829363622936267</c:v>
                </c:pt>
                <c:pt idx="17">
                  <c:v>-10.829363622936267</c:v>
                </c:pt>
                <c:pt idx="18">
                  <c:v>-5.8293636229362669</c:v>
                </c:pt>
                <c:pt idx="19">
                  <c:v>-0.82936362293626686</c:v>
                </c:pt>
                <c:pt idx="20">
                  <c:v>4.1706363770637331</c:v>
                </c:pt>
                <c:pt idx="21">
                  <c:v>9.1706363770637331</c:v>
                </c:pt>
                <c:pt idx="22">
                  <c:v>14.17063637706373</c:v>
                </c:pt>
                <c:pt idx="23">
                  <c:v>19.17063637706373</c:v>
                </c:pt>
                <c:pt idx="24">
                  <c:v>24.17063637706373</c:v>
                </c:pt>
                <c:pt idx="25">
                  <c:v>29.17063637706373</c:v>
                </c:pt>
                <c:pt idx="26">
                  <c:v>34.17063637706373</c:v>
                </c:pt>
                <c:pt idx="27">
                  <c:v>39.17063637706373</c:v>
                </c:pt>
                <c:pt idx="28">
                  <c:v>44.17063637706373</c:v>
                </c:pt>
              </c:numCache>
            </c:numRef>
          </c:val>
          <c:smooth val="0"/>
          <c:extLst>
            <c:ext xmlns:c16="http://schemas.microsoft.com/office/drawing/2014/chart" uri="{C3380CC4-5D6E-409C-BE32-E72D297353CC}">
              <c16:uniqueId val="{0000000F-CE8D-4910-A5BD-A7D672BF8C1B}"/>
            </c:ext>
          </c:extLst>
        </c:ser>
        <c:ser>
          <c:idx val="16"/>
          <c:order val="16"/>
          <c:tx>
            <c:strRef>
              <c:f>'45 Neutral '!$AJ$13</c:f>
              <c:strCache>
                <c:ptCount val="1"/>
                <c:pt idx="0">
                  <c:v>Strap</c:v>
                </c:pt>
              </c:strCache>
            </c:strRef>
          </c:tx>
          <c:spPr>
            <a:ln w="28575" cap="rnd">
              <a:solidFill>
                <a:schemeClr val="accent5">
                  <a:lumMod val="80000"/>
                  <a:lumOff val="20000"/>
                </a:schemeClr>
              </a:solidFill>
              <a:round/>
            </a:ln>
            <a:effectLst/>
          </c:spPr>
          <c:marker>
            <c:symbol val="circle"/>
            <c:size val="5"/>
            <c:spPr>
              <a:solidFill>
                <a:schemeClr val="accent5">
                  <a:lumMod val="80000"/>
                  <a:lumOff val="20000"/>
                </a:schemeClr>
              </a:solidFill>
              <a:ln w="9525">
                <a:solidFill>
                  <a:schemeClr val="accent5">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'!$AJ$14:$AJ$44</c:f>
              <c:numCache>
                <c:formatCode>_-* #,##0.00_-;[Red]\(#,##0.00\);_-* "-"_-;_-@_-</c:formatCode>
                <c:ptCount val="31"/>
                <c:pt idx="0">
                  <c:v>46.78811098809706</c:v>
                </c:pt>
                <c:pt idx="1">
                  <c:v>41.78811098809706</c:v>
                </c:pt>
                <c:pt idx="2">
                  <c:v>36.78811098809706</c:v>
                </c:pt>
                <c:pt idx="3">
                  <c:v>31.78811098809706</c:v>
                </c:pt>
                <c:pt idx="4">
                  <c:v>26.78811098809706</c:v>
                </c:pt>
                <c:pt idx="5">
                  <c:v>21.78811098809706</c:v>
                </c:pt>
                <c:pt idx="6">
                  <c:v>16.78811098809706</c:v>
                </c:pt>
                <c:pt idx="7">
                  <c:v>11.78811098809706</c:v>
                </c:pt>
                <c:pt idx="8">
                  <c:v>6.7881109880970598</c:v>
                </c:pt>
                <c:pt idx="9">
                  <c:v>1.7881109880970598</c:v>
                </c:pt>
                <c:pt idx="10">
                  <c:v>-3.2118890119029402</c:v>
                </c:pt>
                <c:pt idx="11">
                  <c:v>-8.2118890119029402</c:v>
                </c:pt>
                <c:pt idx="12">
                  <c:v>-13.21188901190294</c:v>
                </c:pt>
                <c:pt idx="13">
                  <c:v>-18.21188901190294</c:v>
                </c:pt>
                <c:pt idx="14">
                  <c:v>-23.21188901190294</c:v>
                </c:pt>
                <c:pt idx="15">
                  <c:v>-13.21188901190294</c:v>
                </c:pt>
                <c:pt idx="16">
                  <c:v>-3.2118890119029402</c:v>
                </c:pt>
                <c:pt idx="17">
                  <c:v>6.7881109880970598</c:v>
                </c:pt>
                <c:pt idx="18">
                  <c:v>16.78811098809706</c:v>
                </c:pt>
                <c:pt idx="19">
                  <c:v>26.78811098809706</c:v>
                </c:pt>
                <c:pt idx="20">
                  <c:v>36.78811098809706</c:v>
                </c:pt>
                <c:pt idx="21">
                  <c:v>46.78811098809706</c:v>
                </c:pt>
                <c:pt idx="22">
                  <c:v>56.788110988097053</c:v>
                </c:pt>
                <c:pt idx="23">
                  <c:v>66.78811098809706</c:v>
                </c:pt>
                <c:pt idx="24">
                  <c:v>76.78811098809706</c:v>
                </c:pt>
                <c:pt idx="25">
                  <c:v>86.78811098809706</c:v>
                </c:pt>
                <c:pt idx="26">
                  <c:v>96.78811098809706</c:v>
                </c:pt>
                <c:pt idx="27">
                  <c:v>106.78811098809706</c:v>
                </c:pt>
                <c:pt idx="28">
                  <c:v>116.78811098809706</c:v>
                </c:pt>
              </c:numCache>
            </c:numRef>
          </c:val>
          <c:smooth val="0"/>
          <c:extLst>
            <c:ext xmlns:c16="http://schemas.microsoft.com/office/drawing/2014/chart" uri="{C3380CC4-5D6E-409C-BE32-E72D297353CC}">
              <c16:uniqueId val="{00000010-CE8D-4910-A5BD-A7D672BF8C1B}"/>
            </c:ext>
          </c:extLst>
        </c:ser>
        <c:ser>
          <c:idx val="17"/>
          <c:order val="17"/>
          <c:tx>
            <c:strRef>
              <c:f>'45 Neutral '!$AL$13</c:f>
              <c:strCache>
                <c:ptCount val="1"/>
                <c:pt idx="0">
                  <c:v>Long Guts</c:v>
                </c:pt>
              </c:strCache>
            </c:strRef>
          </c:tx>
          <c:spPr>
            <a:ln w="28575" cap="rnd">
              <a:solidFill>
                <a:schemeClr val="accent6">
                  <a:lumMod val="80000"/>
                  <a:lumOff val="20000"/>
                </a:schemeClr>
              </a:solidFill>
              <a:round/>
            </a:ln>
            <a:effectLst/>
          </c:spPr>
          <c:marker>
            <c:symbol val="circle"/>
            <c:size val="5"/>
            <c:spPr>
              <a:solidFill>
                <a:schemeClr val="accent6">
                  <a:lumMod val="80000"/>
                  <a:lumOff val="20000"/>
                </a:schemeClr>
              </a:solidFill>
              <a:ln w="9525">
                <a:solidFill>
                  <a:schemeClr val="accent6">
                    <a:lumMod val="80000"/>
                    <a:lumOff val="20000"/>
                  </a:schemeClr>
                </a:solidFill>
              </a:ln>
              <a:effectLst/>
            </c:spPr>
          </c:marker>
          <c:cat>
            <c:numRef>
              <c:f>'45 Neutral '!$B$14:$B$44</c:f>
              <c:numCache>
                <c:formatCode>0.00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cat>
          <c:val>
            <c:numRef>
              <c:f>'45 Neutral '!$AL$14:$AL$44</c:f>
              <c:numCache>
                <c:formatCode>_-* #,##0.00_-;[Red]\(#,##0.00\);_-* "-"_-;_-@_-</c:formatCode>
                <c:ptCount val="31"/>
                <c:pt idx="0">
                  <c:v>53.600468580054311</c:v>
                </c:pt>
                <c:pt idx="1">
                  <c:v>48.600468580054311</c:v>
                </c:pt>
                <c:pt idx="2">
                  <c:v>43.600468580054311</c:v>
                </c:pt>
                <c:pt idx="3">
                  <c:v>38.600468580054311</c:v>
                </c:pt>
                <c:pt idx="4">
                  <c:v>33.600468580054311</c:v>
                </c:pt>
                <c:pt idx="5">
                  <c:v>28.600468580054311</c:v>
                </c:pt>
                <c:pt idx="6">
                  <c:v>23.600468580054311</c:v>
                </c:pt>
                <c:pt idx="7">
                  <c:v>18.600468580054311</c:v>
                </c:pt>
                <c:pt idx="8">
                  <c:v>13.600468580054311</c:v>
                </c:pt>
                <c:pt idx="9">
                  <c:v>8.6004685800543115</c:v>
                </c:pt>
                <c:pt idx="10">
                  <c:v>3.6004685800543115</c:v>
                </c:pt>
                <c:pt idx="11">
                  <c:v>-1.3995314199456885</c:v>
                </c:pt>
                <c:pt idx="12">
                  <c:v>-6.3995314199456885</c:v>
                </c:pt>
                <c:pt idx="13">
                  <c:v>-11.399531419945689</c:v>
                </c:pt>
                <c:pt idx="14">
                  <c:v>-14.399531419945689</c:v>
                </c:pt>
                <c:pt idx="15">
                  <c:v>-11.399531419945689</c:v>
                </c:pt>
                <c:pt idx="16">
                  <c:v>-6.3995314199456885</c:v>
                </c:pt>
                <c:pt idx="17">
                  <c:v>-1.3995314199456885</c:v>
                </c:pt>
                <c:pt idx="18">
                  <c:v>3.6004685800543115</c:v>
                </c:pt>
                <c:pt idx="19">
                  <c:v>8.6004685800543115</c:v>
                </c:pt>
                <c:pt idx="20">
                  <c:v>13.600468580054311</c:v>
                </c:pt>
                <c:pt idx="21">
                  <c:v>18.600468580054311</c:v>
                </c:pt>
                <c:pt idx="22">
                  <c:v>23.600468580054311</c:v>
                </c:pt>
                <c:pt idx="23">
                  <c:v>28.600468580054311</c:v>
                </c:pt>
                <c:pt idx="24">
                  <c:v>33.600468580054311</c:v>
                </c:pt>
                <c:pt idx="25">
                  <c:v>38.600468580054311</c:v>
                </c:pt>
                <c:pt idx="26">
                  <c:v>43.600468580054311</c:v>
                </c:pt>
                <c:pt idx="27">
                  <c:v>48.600468580054311</c:v>
                </c:pt>
                <c:pt idx="28">
                  <c:v>53.600468580054304</c:v>
                </c:pt>
              </c:numCache>
            </c:numRef>
          </c:val>
          <c:smooth val="0"/>
          <c:extLst>
            <c:ext xmlns:c16="http://schemas.microsoft.com/office/drawing/2014/chart" uri="{C3380CC4-5D6E-409C-BE32-E72D297353CC}">
              <c16:uniqueId val="{00000011-CE8D-4910-A5BD-A7D672BF8C1B}"/>
            </c:ext>
          </c:extLst>
        </c:ser>
        <c:dLbls>
          <c:showLegendKey val="0"/>
          <c:showVal val="0"/>
          <c:showCatName val="0"/>
          <c:showSerName val="0"/>
          <c:showPercent val="0"/>
          <c:showBubbleSize val="0"/>
        </c:dLbls>
        <c:marker val="1"/>
        <c:smooth val="0"/>
        <c:axId val="726740992"/>
        <c:axId val="726742912"/>
      </c:lineChart>
      <c:catAx>
        <c:axId val="726740992"/>
        <c:scaling>
          <c:orientation val="minMax"/>
        </c:scaling>
        <c:delete val="0"/>
        <c:axPos val="b"/>
        <c:numFmt formatCode="0.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26742912"/>
        <c:crosses val="autoZero"/>
        <c:auto val="1"/>
        <c:lblAlgn val="ctr"/>
        <c:lblOffset val="100"/>
        <c:noMultiLvlLbl val="0"/>
      </c:catAx>
      <c:valAx>
        <c:axId val="726742912"/>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26740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Strap</a:t>
            </a:r>
          </a:p>
        </c:rich>
      </c:tx>
      <c:layout>
        <c:manualLayout>
          <c:xMode val="edge"/>
          <c:yMode val="edge"/>
          <c:x val="0.39286228240572862"/>
          <c:y val="4.209513341154878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'53-60'!$B$83:$B$111</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122.52</c:v>
                </c:pt>
                <c:pt idx="26">
                  <c:v>130</c:v>
                </c:pt>
                <c:pt idx="27">
                  <c:v>135</c:v>
                </c:pt>
                <c:pt idx="28">
                  <c:v>140</c:v>
                </c:pt>
              </c:numCache>
            </c:numRef>
          </c:xVal>
          <c:yVal>
            <c:numRef>
              <c:f>'53-60'!$C$83:$C$111</c:f>
              <c:numCache>
                <c:formatCode>_-* #,##0.00_-;[Red]\(#,##0.00\);_-* "-"_-;_-@_-</c:formatCode>
                <c:ptCount val="29"/>
                <c:pt idx="0">
                  <c:v>46.78811098809706</c:v>
                </c:pt>
                <c:pt idx="1">
                  <c:v>41.78811098809706</c:v>
                </c:pt>
                <c:pt idx="2">
                  <c:v>36.78811098809706</c:v>
                </c:pt>
                <c:pt idx="3">
                  <c:v>31.78811098809706</c:v>
                </c:pt>
                <c:pt idx="4">
                  <c:v>26.78811098809706</c:v>
                </c:pt>
                <c:pt idx="5">
                  <c:v>21.78811098809706</c:v>
                </c:pt>
                <c:pt idx="6">
                  <c:v>16.78811098809706</c:v>
                </c:pt>
                <c:pt idx="7">
                  <c:v>11.78811098809706</c:v>
                </c:pt>
                <c:pt idx="8">
                  <c:v>6.7881109880970598</c:v>
                </c:pt>
                <c:pt idx="9">
                  <c:v>1.7881109880970598</c:v>
                </c:pt>
                <c:pt idx="10">
                  <c:v>-3.2118890119029402</c:v>
                </c:pt>
                <c:pt idx="11">
                  <c:v>-8.2118890119029402</c:v>
                </c:pt>
                <c:pt idx="12">
                  <c:v>-13.21188901190294</c:v>
                </c:pt>
                <c:pt idx="13">
                  <c:v>-18.21188901190294</c:v>
                </c:pt>
                <c:pt idx="14">
                  <c:v>-23.21188901190294</c:v>
                </c:pt>
                <c:pt idx="15">
                  <c:v>-13.21188901190294</c:v>
                </c:pt>
                <c:pt idx="16">
                  <c:v>-3.2118890119029402</c:v>
                </c:pt>
                <c:pt idx="17">
                  <c:v>6.7881109880970598</c:v>
                </c:pt>
                <c:pt idx="18">
                  <c:v>16.78811098809706</c:v>
                </c:pt>
                <c:pt idx="19">
                  <c:v>26.78811098809706</c:v>
                </c:pt>
                <c:pt idx="20">
                  <c:v>36.78811098809706</c:v>
                </c:pt>
                <c:pt idx="21">
                  <c:v>46.78811098809706</c:v>
                </c:pt>
                <c:pt idx="22">
                  <c:v>56.788110988097053</c:v>
                </c:pt>
                <c:pt idx="23">
                  <c:v>66.78811098809706</c:v>
                </c:pt>
                <c:pt idx="24">
                  <c:v>76.78811098809706</c:v>
                </c:pt>
                <c:pt idx="25">
                  <c:v>81.828110988097052</c:v>
                </c:pt>
                <c:pt idx="26">
                  <c:v>96.78811098809706</c:v>
                </c:pt>
                <c:pt idx="27">
                  <c:v>106.78811098809706</c:v>
                </c:pt>
                <c:pt idx="28">
                  <c:v>116.78811098809706</c:v>
                </c:pt>
              </c:numCache>
            </c:numRef>
          </c:yVal>
          <c:smooth val="0"/>
          <c:extLst>
            <c:ext xmlns:c16="http://schemas.microsoft.com/office/drawing/2014/chart" uri="{C3380CC4-5D6E-409C-BE32-E72D297353CC}">
              <c16:uniqueId val="{00000000-1B32-4875-B0AF-EA373AC1FD43}"/>
            </c:ext>
          </c:extLst>
        </c:ser>
        <c:dLbls>
          <c:showLegendKey val="0"/>
          <c:showVal val="0"/>
          <c:showCatName val="0"/>
          <c:showSerName val="0"/>
          <c:showPercent val="0"/>
          <c:showBubbleSize val="0"/>
        </c:dLbls>
        <c:axId val="435745407"/>
        <c:axId val="435743743"/>
      </c:scatterChart>
      <c:valAx>
        <c:axId val="435745407"/>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5743743"/>
        <c:crosses val="autoZero"/>
        <c:crossBetween val="midCat"/>
      </c:valAx>
      <c:valAx>
        <c:axId val="435743743"/>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3574540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Covered Calls OTM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'8-9'!$B$20:$B$48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'8-9'!$C$20:$C$48</c:f>
              <c:numCache>
                <c:formatCode>_-* #,##0.00_-;[Red]\(#,##0.00\);_-* "-"_-;_-@_-</c:formatCode>
                <c:ptCount val="29"/>
                <c:pt idx="0">
                  <c:v>-63.872672592475396</c:v>
                </c:pt>
                <c:pt idx="1">
                  <c:v>-58.872672592475396</c:v>
                </c:pt>
                <c:pt idx="2">
                  <c:v>-53.872672592475396</c:v>
                </c:pt>
                <c:pt idx="3">
                  <c:v>-48.872672592475396</c:v>
                </c:pt>
                <c:pt idx="4">
                  <c:v>-43.872672592475396</c:v>
                </c:pt>
                <c:pt idx="5">
                  <c:v>-38.872672592475396</c:v>
                </c:pt>
                <c:pt idx="6">
                  <c:v>-33.872672592475396</c:v>
                </c:pt>
                <c:pt idx="7">
                  <c:v>-28.872672592475396</c:v>
                </c:pt>
                <c:pt idx="8">
                  <c:v>-23.872672592475396</c:v>
                </c:pt>
                <c:pt idx="9">
                  <c:v>-18.872672592475396</c:v>
                </c:pt>
                <c:pt idx="10">
                  <c:v>-13.872672592475396</c:v>
                </c:pt>
                <c:pt idx="11">
                  <c:v>-8.8726725924753964</c:v>
                </c:pt>
                <c:pt idx="12">
                  <c:v>-3.8726725924753964</c:v>
                </c:pt>
                <c:pt idx="13">
                  <c:v>1.1273274075246036</c:v>
                </c:pt>
                <c:pt idx="14">
                  <c:v>6.1273274075246036</c:v>
                </c:pt>
                <c:pt idx="15">
                  <c:v>8.1273274075246036</c:v>
                </c:pt>
                <c:pt idx="16">
                  <c:v>8.1273274075246036</c:v>
                </c:pt>
                <c:pt idx="17">
                  <c:v>8.1273274075246036</c:v>
                </c:pt>
                <c:pt idx="18">
                  <c:v>8.1273274075246036</c:v>
                </c:pt>
                <c:pt idx="19">
                  <c:v>8.1273274075246036</c:v>
                </c:pt>
                <c:pt idx="20">
                  <c:v>8.1273274075246036</c:v>
                </c:pt>
                <c:pt idx="21">
                  <c:v>8.1273274075246036</c:v>
                </c:pt>
                <c:pt idx="22">
                  <c:v>8.1273274075246036</c:v>
                </c:pt>
                <c:pt idx="23">
                  <c:v>8.1273274075246036</c:v>
                </c:pt>
                <c:pt idx="24">
                  <c:v>8.1273274075246036</c:v>
                </c:pt>
                <c:pt idx="25">
                  <c:v>8.1273274075246036</c:v>
                </c:pt>
                <c:pt idx="26">
                  <c:v>8.1273274075246036</c:v>
                </c:pt>
                <c:pt idx="27">
                  <c:v>8.1273274075246036</c:v>
                </c:pt>
                <c:pt idx="28">
                  <c:v>8.1273274075246036</c:v>
                </c:pt>
              </c:numCache>
            </c:numRef>
          </c:yVal>
          <c:smooth val="0"/>
          <c:extLst>
            <c:ext xmlns:c16="http://schemas.microsoft.com/office/drawing/2014/chart" uri="{C3380CC4-5D6E-409C-BE32-E72D297353CC}">
              <c16:uniqueId val="{00000000-2CE4-441B-B995-7E045D7AE948}"/>
            </c:ext>
          </c:extLst>
        </c:ser>
        <c:dLbls>
          <c:showLegendKey val="0"/>
          <c:showVal val="0"/>
          <c:showCatName val="0"/>
          <c:showSerName val="0"/>
          <c:showPercent val="0"/>
          <c:showBubbleSize val="0"/>
        </c:dLbls>
        <c:axId val="312392016"/>
        <c:axId val="312382864"/>
      </c:scatterChart>
      <c:valAx>
        <c:axId val="312392016"/>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2382864"/>
        <c:crosses val="autoZero"/>
        <c:crossBetween val="midCat"/>
      </c:valAx>
      <c:valAx>
        <c:axId val="312382864"/>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23920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Covered Call OTM,</a:t>
            </a:r>
            <a:r>
              <a:rPr lang="de-DE" baseline="0"/>
              <a:t> Short Call und Aktie</a:t>
            </a:r>
            <a:endParaRPr lang="de-DE"/>
          </a:p>
        </c:rich>
      </c:tx>
      <c:layout>
        <c:manualLayout>
          <c:xMode val="edge"/>
          <c:yMode val="edge"/>
          <c:x val="0.18513155344320914"/>
          <c:y val="4.122048638276495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Covered Call</c:v>
          </c:tx>
          <c:spPr>
            <a:ln w="19050" cap="rnd">
              <a:solidFill>
                <a:schemeClr val="accent1"/>
              </a:solidFill>
              <a:round/>
            </a:ln>
            <a:effectLst/>
          </c:spPr>
          <c:marker>
            <c:symbol val="none"/>
          </c:marker>
          <c:xVal>
            <c:numRef>
              <c:f>'8-9'!$B$20:$B$48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'8-9'!$C$20:$C$48</c:f>
              <c:numCache>
                <c:formatCode>_-* #,##0.00_-;[Red]\(#,##0.00\);_-* "-"_-;_-@_-</c:formatCode>
                <c:ptCount val="29"/>
                <c:pt idx="0">
                  <c:v>-63.872672592475396</c:v>
                </c:pt>
                <c:pt idx="1">
                  <c:v>-58.872672592475396</c:v>
                </c:pt>
                <c:pt idx="2">
                  <c:v>-53.872672592475396</c:v>
                </c:pt>
                <c:pt idx="3">
                  <c:v>-48.872672592475396</c:v>
                </c:pt>
                <c:pt idx="4">
                  <c:v>-43.872672592475396</c:v>
                </c:pt>
                <c:pt idx="5">
                  <c:v>-38.872672592475396</c:v>
                </c:pt>
                <c:pt idx="6">
                  <c:v>-33.872672592475396</c:v>
                </c:pt>
                <c:pt idx="7">
                  <c:v>-28.872672592475396</c:v>
                </c:pt>
                <c:pt idx="8">
                  <c:v>-23.872672592475396</c:v>
                </c:pt>
                <c:pt idx="9">
                  <c:v>-18.872672592475396</c:v>
                </c:pt>
                <c:pt idx="10">
                  <c:v>-13.872672592475396</c:v>
                </c:pt>
                <c:pt idx="11">
                  <c:v>-8.8726725924753964</c:v>
                </c:pt>
                <c:pt idx="12">
                  <c:v>-3.8726725924753964</c:v>
                </c:pt>
                <c:pt idx="13">
                  <c:v>1.1273274075246036</c:v>
                </c:pt>
                <c:pt idx="14">
                  <c:v>6.1273274075246036</c:v>
                </c:pt>
                <c:pt idx="15">
                  <c:v>8.1273274075246036</c:v>
                </c:pt>
                <c:pt idx="16">
                  <c:v>8.1273274075246036</c:v>
                </c:pt>
                <c:pt idx="17">
                  <c:v>8.1273274075246036</c:v>
                </c:pt>
                <c:pt idx="18">
                  <c:v>8.1273274075246036</c:v>
                </c:pt>
                <c:pt idx="19">
                  <c:v>8.1273274075246036</c:v>
                </c:pt>
                <c:pt idx="20">
                  <c:v>8.1273274075246036</c:v>
                </c:pt>
                <c:pt idx="21">
                  <c:v>8.1273274075246036</c:v>
                </c:pt>
                <c:pt idx="22">
                  <c:v>8.1273274075246036</c:v>
                </c:pt>
                <c:pt idx="23">
                  <c:v>8.1273274075246036</c:v>
                </c:pt>
                <c:pt idx="24">
                  <c:v>8.1273274075246036</c:v>
                </c:pt>
                <c:pt idx="25">
                  <c:v>8.1273274075246036</c:v>
                </c:pt>
                <c:pt idx="26">
                  <c:v>8.1273274075246036</c:v>
                </c:pt>
                <c:pt idx="27">
                  <c:v>8.1273274075246036</c:v>
                </c:pt>
                <c:pt idx="28">
                  <c:v>8.1273274075246036</c:v>
                </c:pt>
              </c:numCache>
            </c:numRef>
          </c:yVal>
          <c:smooth val="0"/>
          <c:extLst>
            <c:ext xmlns:c16="http://schemas.microsoft.com/office/drawing/2014/chart" uri="{C3380CC4-5D6E-409C-BE32-E72D297353CC}">
              <c16:uniqueId val="{00000000-EF1E-49FA-8835-556030E363B4}"/>
            </c:ext>
          </c:extLst>
        </c:ser>
        <c:ser>
          <c:idx val="1"/>
          <c:order val="1"/>
          <c:tx>
            <c:v>Short Call</c:v>
          </c:tx>
          <c:spPr>
            <a:ln w="19050" cap="rnd">
              <a:solidFill>
                <a:schemeClr val="accent2"/>
              </a:solidFill>
              <a:round/>
            </a:ln>
            <a:effectLst/>
          </c:spPr>
          <c:marker>
            <c:symbol val="none"/>
          </c:marker>
          <c:xVal>
            <c:numRef>
              <c:f>'8-9'!$B$20:$B$48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'8-9'!$P$20:$P$48</c:f>
              <c:numCache>
                <c:formatCode>_-* #,##0.00_-;[Red]\(#,##0.00\);_-* "-"_-;_-@_-</c:formatCode>
                <c:ptCount val="29"/>
                <c:pt idx="0">
                  <c:v>6.1273274075246036</c:v>
                </c:pt>
                <c:pt idx="1">
                  <c:v>6.1273274075246036</c:v>
                </c:pt>
                <c:pt idx="2">
                  <c:v>6.1273274075246036</c:v>
                </c:pt>
                <c:pt idx="3">
                  <c:v>6.1273274075246036</c:v>
                </c:pt>
                <c:pt idx="4">
                  <c:v>6.1273274075246036</c:v>
                </c:pt>
                <c:pt idx="5">
                  <c:v>6.1273274075246036</c:v>
                </c:pt>
                <c:pt idx="6">
                  <c:v>6.1273274075246036</c:v>
                </c:pt>
                <c:pt idx="7">
                  <c:v>6.1273274075246036</c:v>
                </c:pt>
                <c:pt idx="8">
                  <c:v>6.1273274075246036</c:v>
                </c:pt>
                <c:pt idx="9">
                  <c:v>6.1273274075246036</c:v>
                </c:pt>
                <c:pt idx="10">
                  <c:v>6.1273274075246036</c:v>
                </c:pt>
                <c:pt idx="11">
                  <c:v>6.1273274075246036</c:v>
                </c:pt>
                <c:pt idx="12">
                  <c:v>6.1273274075246036</c:v>
                </c:pt>
                <c:pt idx="13">
                  <c:v>6.1273274075246036</c:v>
                </c:pt>
                <c:pt idx="14">
                  <c:v>6.1273274075246036</c:v>
                </c:pt>
                <c:pt idx="15">
                  <c:v>3.1273274075246036</c:v>
                </c:pt>
                <c:pt idx="16">
                  <c:v>-1.8726725924753964</c:v>
                </c:pt>
                <c:pt idx="17">
                  <c:v>-6.8726725924753964</c:v>
                </c:pt>
                <c:pt idx="18">
                  <c:v>-11.872672592475396</c:v>
                </c:pt>
                <c:pt idx="19">
                  <c:v>-16.872672592475396</c:v>
                </c:pt>
                <c:pt idx="20">
                  <c:v>-21.872672592475396</c:v>
                </c:pt>
                <c:pt idx="21">
                  <c:v>-26.872672592475396</c:v>
                </c:pt>
                <c:pt idx="22">
                  <c:v>-31.872672592475396</c:v>
                </c:pt>
                <c:pt idx="23">
                  <c:v>-36.872672592475396</c:v>
                </c:pt>
                <c:pt idx="24">
                  <c:v>-41.872672592475396</c:v>
                </c:pt>
                <c:pt idx="25">
                  <c:v>-46.872672592475396</c:v>
                </c:pt>
                <c:pt idx="26">
                  <c:v>-51.872672592475396</c:v>
                </c:pt>
                <c:pt idx="27">
                  <c:v>-56.872672592475396</c:v>
                </c:pt>
                <c:pt idx="28">
                  <c:v>-61.872672592475396</c:v>
                </c:pt>
              </c:numCache>
            </c:numRef>
          </c:yVal>
          <c:smooth val="0"/>
          <c:extLst>
            <c:ext xmlns:c16="http://schemas.microsoft.com/office/drawing/2014/chart" uri="{C3380CC4-5D6E-409C-BE32-E72D297353CC}">
              <c16:uniqueId val="{00000001-EF1E-49FA-8835-556030E363B4}"/>
            </c:ext>
          </c:extLst>
        </c:ser>
        <c:ser>
          <c:idx val="2"/>
          <c:order val="2"/>
          <c:tx>
            <c:v>Pharma Group Aktie</c:v>
          </c:tx>
          <c:spPr>
            <a:ln w="19050" cap="rnd">
              <a:solidFill>
                <a:schemeClr val="accent3"/>
              </a:solidFill>
              <a:round/>
            </a:ln>
            <a:effectLst/>
          </c:spPr>
          <c:marker>
            <c:symbol val="none"/>
          </c:marker>
          <c:xVal>
            <c:numRef>
              <c:f>'8-9'!$B$20:$B$48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'8-9'!$T$20:$T$48</c:f>
              <c:numCache>
                <c:formatCode>_-* #,##0.00_-;[Red]\(#,##0.00\);_-* "-"_-;_-@_-</c:formatCode>
                <c:ptCount val="29"/>
                <c:pt idx="0">
                  <c:v>-70</c:v>
                </c:pt>
                <c:pt idx="1">
                  <c:v>-65</c:v>
                </c:pt>
                <c:pt idx="2">
                  <c:v>-60</c:v>
                </c:pt>
                <c:pt idx="3">
                  <c:v>-55</c:v>
                </c:pt>
                <c:pt idx="4">
                  <c:v>-50</c:v>
                </c:pt>
                <c:pt idx="5">
                  <c:v>-45</c:v>
                </c:pt>
                <c:pt idx="6">
                  <c:v>-40</c:v>
                </c:pt>
                <c:pt idx="7">
                  <c:v>-35</c:v>
                </c:pt>
                <c:pt idx="8">
                  <c:v>-30</c:v>
                </c:pt>
                <c:pt idx="9">
                  <c:v>-25</c:v>
                </c:pt>
                <c:pt idx="10">
                  <c:v>-20</c:v>
                </c:pt>
                <c:pt idx="11">
                  <c:v>-15</c:v>
                </c:pt>
                <c:pt idx="12">
                  <c:v>-10</c:v>
                </c:pt>
                <c:pt idx="13">
                  <c:v>-5</c:v>
                </c:pt>
                <c:pt idx="14">
                  <c:v>0</c:v>
                </c:pt>
                <c:pt idx="15">
                  <c:v>5</c:v>
                </c:pt>
                <c:pt idx="16">
                  <c:v>10</c:v>
                </c:pt>
                <c:pt idx="17">
                  <c:v>15</c:v>
                </c:pt>
                <c:pt idx="18">
                  <c:v>20</c:v>
                </c:pt>
                <c:pt idx="19">
                  <c:v>25</c:v>
                </c:pt>
                <c:pt idx="20">
                  <c:v>30</c:v>
                </c:pt>
                <c:pt idx="21">
                  <c:v>35</c:v>
                </c:pt>
                <c:pt idx="22">
                  <c:v>40</c:v>
                </c:pt>
                <c:pt idx="23">
                  <c:v>45</c:v>
                </c:pt>
                <c:pt idx="24">
                  <c:v>50</c:v>
                </c:pt>
                <c:pt idx="25">
                  <c:v>55</c:v>
                </c:pt>
                <c:pt idx="26">
                  <c:v>60</c:v>
                </c:pt>
                <c:pt idx="27">
                  <c:v>65</c:v>
                </c:pt>
                <c:pt idx="28">
                  <c:v>70</c:v>
                </c:pt>
              </c:numCache>
            </c:numRef>
          </c:yVal>
          <c:smooth val="0"/>
          <c:extLst>
            <c:ext xmlns:c16="http://schemas.microsoft.com/office/drawing/2014/chart" uri="{C3380CC4-5D6E-409C-BE32-E72D297353CC}">
              <c16:uniqueId val="{00000002-EF1E-49FA-8835-556030E363B4}"/>
            </c:ext>
          </c:extLst>
        </c:ser>
        <c:dLbls>
          <c:showLegendKey val="0"/>
          <c:showVal val="0"/>
          <c:showCatName val="0"/>
          <c:showSerName val="0"/>
          <c:showPercent val="0"/>
          <c:showBubbleSize val="0"/>
        </c:dLbls>
        <c:axId val="315416880"/>
        <c:axId val="315418544"/>
      </c:scatterChart>
      <c:valAx>
        <c:axId val="315416880"/>
        <c:scaling>
          <c:orientation val="minMax"/>
          <c:max val="90"/>
          <c:min val="5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5418544"/>
        <c:crosses val="autoZero"/>
        <c:crossBetween val="midCat"/>
      </c:valAx>
      <c:valAx>
        <c:axId val="315418544"/>
        <c:scaling>
          <c:orientation val="minMax"/>
          <c:max val="15"/>
          <c:min val="-15"/>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5416880"/>
        <c:crossesAt val="0"/>
        <c:crossBetween val="midCat"/>
      </c:valAx>
      <c:spPr>
        <a:noFill/>
        <a:ln>
          <a:noFill/>
        </a:ln>
        <a:effectLst/>
      </c:spPr>
    </c:plotArea>
    <c:legend>
      <c:legendPos val="b"/>
      <c:layout>
        <c:manualLayout>
          <c:xMode val="edge"/>
          <c:yMode val="edge"/>
          <c:x val="0.14539107611548557"/>
          <c:y val="0.86631889763779524"/>
          <c:w val="0.61417267627493988"/>
          <c:h val="7.05984665683908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Protective Put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'10-11'!$B$20:$B$48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'10-11'!$C$20:$C$48</c:f>
              <c:numCache>
                <c:formatCode>_-* #,##0.00_-;[Red]\(#,##0.00\);_-* "-"_-;_-@_-</c:formatCode>
                <c:ptCount val="29"/>
                <c:pt idx="0">
                  <c:v>-9.4822794113231978</c:v>
                </c:pt>
                <c:pt idx="1">
                  <c:v>-9.4822794113231978</c:v>
                </c:pt>
                <c:pt idx="2">
                  <c:v>-9.4822794113231978</c:v>
                </c:pt>
                <c:pt idx="3">
                  <c:v>-9.4822794113231978</c:v>
                </c:pt>
                <c:pt idx="4">
                  <c:v>-9.4822794113231978</c:v>
                </c:pt>
                <c:pt idx="5">
                  <c:v>-9.4822794113231978</c:v>
                </c:pt>
                <c:pt idx="6">
                  <c:v>-9.4822794113231978</c:v>
                </c:pt>
                <c:pt idx="7">
                  <c:v>-9.4822794113231978</c:v>
                </c:pt>
                <c:pt idx="8">
                  <c:v>-9.4822794113231978</c:v>
                </c:pt>
                <c:pt idx="9">
                  <c:v>-9.4822794113231978</c:v>
                </c:pt>
                <c:pt idx="10">
                  <c:v>-9.4822794113231978</c:v>
                </c:pt>
                <c:pt idx="11">
                  <c:v>-9.4822794113231978</c:v>
                </c:pt>
                <c:pt idx="12">
                  <c:v>-9.4822794113231978</c:v>
                </c:pt>
                <c:pt idx="13">
                  <c:v>-9.4822794113231978</c:v>
                </c:pt>
                <c:pt idx="14">
                  <c:v>-9.4822794113231978</c:v>
                </c:pt>
                <c:pt idx="15">
                  <c:v>-4.4822794113231978</c:v>
                </c:pt>
                <c:pt idx="16">
                  <c:v>0.51772058867680215</c:v>
                </c:pt>
                <c:pt idx="17">
                  <c:v>5.5177205886768022</c:v>
                </c:pt>
                <c:pt idx="18">
                  <c:v>10.517720588676802</c:v>
                </c:pt>
                <c:pt idx="19">
                  <c:v>15.517720588676802</c:v>
                </c:pt>
                <c:pt idx="20">
                  <c:v>20.517720588676802</c:v>
                </c:pt>
                <c:pt idx="21">
                  <c:v>25.517720588676802</c:v>
                </c:pt>
                <c:pt idx="22">
                  <c:v>30.517720588676802</c:v>
                </c:pt>
                <c:pt idx="23">
                  <c:v>35.517720588676802</c:v>
                </c:pt>
                <c:pt idx="24">
                  <c:v>40.517720588676802</c:v>
                </c:pt>
                <c:pt idx="25">
                  <c:v>45.517720588676802</c:v>
                </c:pt>
                <c:pt idx="26">
                  <c:v>50.517720588676802</c:v>
                </c:pt>
                <c:pt idx="27">
                  <c:v>55.517720588676802</c:v>
                </c:pt>
                <c:pt idx="28">
                  <c:v>60.517720588676802</c:v>
                </c:pt>
              </c:numCache>
            </c:numRef>
          </c:yVal>
          <c:smooth val="0"/>
          <c:extLst>
            <c:ext xmlns:c16="http://schemas.microsoft.com/office/drawing/2014/chart" uri="{C3380CC4-5D6E-409C-BE32-E72D297353CC}">
              <c16:uniqueId val="{00000000-FACF-4AC6-A821-64430E4D1792}"/>
            </c:ext>
          </c:extLst>
        </c:ser>
        <c:dLbls>
          <c:showLegendKey val="0"/>
          <c:showVal val="0"/>
          <c:showCatName val="0"/>
          <c:showSerName val="0"/>
          <c:showPercent val="0"/>
          <c:showBubbleSize val="0"/>
        </c:dLbls>
        <c:axId val="315450576"/>
        <c:axId val="315451824"/>
      </c:scatterChart>
      <c:valAx>
        <c:axId val="315450576"/>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5451824"/>
        <c:crosses val="autoZero"/>
        <c:crossBetween val="midCat"/>
      </c:valAx>
      <c:valAx>
        <c:axId val="315451824"/>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154505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Gewinnprofil Protective Put,</a:t>
            </a:r>
            <a:r>
              <a:rPr lang="de-DE" baseline="0"/>
              <a:t> Long Put und Aktie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Protective Put</c:v>
          </c:tx>
          <c:spPr>
            <a:ln w="19050" cap="rnd">
              <a:solidFill>
                <a:schemeClr val="accent1"/>
              </a:solidFill>
              <a:round/>
            </a:ln>
            <a:effectLst/>
          </c:spPr>
          <c:marker>
            <c:symbol val="none"/>
          </c:marker>
          <c:xVal>
            <c:numRef>
              <c:f>'10-11'!$B$20:$B$48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'10-11'!$C$20:$C$48</c:f>
              <c:numCache>
                <c:formatCode>_-* #,##0.00_-;[Red]\(#,##0.00\);_-* "-"_-;_-@_-</c:formatCode>
                <c:ptCount val="29"/>
                <c:pt idx="0">
                  <c:v>-9.4822794113231978</c:v>
                </c:pt>
                <c:pt idx="1">
                  <c:v>-9.4822794113231978</c:v>
                </c:pt>
                <c:pt idx="2">
                  <c:v>-9.4822794113231978</c:v>
                </c:pt>
                <c:pt idx="3">
                  <c:v>-9.4822794113231978</c:v>
                </c:pt>
                <c:pt idx="4">
                  <c:v>-9.4822794113231978</c:v>
                </c:pt>
                <c:pt idx="5">
                  <c:v>-9.4822794113231978</c:v>
                </c:pt>
                <c:pt idx="6">
                  <c:v>-9.4822794113231978</c:v>
                </c:pt>
                <c:pt idx="7">
                  <c:v>-9.4822794113231978</c:v>
                </c:pt>
                <c:pt idx="8">
                  <c:v>-9.4822794113231978</c:v>
                </c:pt>
                <c:pt idx="9">
                  <c:v>-9.4822794113231978</c:v>
                </c:pt>
                <c:pt idx="10">
                  <c:v>-9.4822794113231978</c:v>
                </c:pt>
                <c:pt idx="11">
                  <c:v>-9.4822794113231978</c:v>
                </c:pt>
                <c:pt idx="12">
                  <c:v>-9.4822794113231978</c:v>
                </c:pt>
                <c:pt idx="13">
                  <c:v>-9.4822794113231978</c:v>
                </c:pt>
                <c:pt idx="14">
                  <c:v>-9.4822794113231978</c:v>
                </c:pt>
                <c:pt idx="15">
                  <c:v>-4.4822794113231978</c:v>
                </c:pt>
                <c:pt idx="16">
                  <c:v>0.51772058867680215</c:v>
                </c:pt>
                <c:pt idx="17">
                  <c:v>5.5177205886768022</c:v>
                </c:pt>
                <c:pt idx="18">
                  <c:v>10.517720588676802</c:v>
                </c:pt>
                <c:pt idx="19">
                  <c:v>15.517720588676802</c:v>
                </c:pt>
                <c:pt idx="20">
                  <c:v>20.517720588676802</c:v>
                </c:pt>
                <c:pt idx="21">
                  <c:v>25.517720588676802</c:v>
                </c:pt>
                <c:pt idx="22">
                  <c:v>30.517720588676802</c:v>
                </c:pt>
                <c:pt idx="23">
                  <c:v>35.517720588676802</c:v>
                </c:pt>
                <c:pt idx="24">
                  <c:v>40.517720588676802</c:v>
                </c:pt>
                <c:pt idx="25">
                  <c:v>45.517720588676802</c:v>
                </c:pt>
                <c:pt idx="26">
                  <c:v>50.517720588676802</c:v>
                </c:pt>
                <c:pt idx="27">
                  <c:v>55.517720588676802</c:v>
                </c:pt>
                <c:pt idx="28">
                  <c:v>60.517720588676802</c:v>
                </c:pt>
              </c:numCache>
            </c:numRef>
          </c:yVal>
          <c:smooth val="0"/>
          <c:extLst>
            <c:ext xmlns:c16="http://schemas.microsoft.com/office/drawing/2014/chart" uri="{C3380CC4-5D6E-409C-BE32-E72D297353CC}">
              <c16:uniqueId val="{00000000-2FF6-40AB-868F-36BC849E5F1F}"/>
            </c:ext>
          </c:extLst>
        </c:ser>
        <c:ser>
          <c:idx val="1"/>
          <c:order val="1"/>
          <c:tx>
            <c:v>Long Put</c:v>
          </c:tx>
          <c:spPr>
            <a:ln w="19050" cap="rnd">
              <a:solidFill>
                <a:schemeClr val="accent2"/>
              </a:solidFill>
              <a:round/>
            </a:ln>
            <a:effectLst/>
          </c:spPr>
          <c:marker>
            <c:symbol val="none"/>
          </c:marker>
          <c:xVal>
            <c:numRef>
              <c:f>'10-11'!$B$20:$B$48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'10-11'!$P$20:$P$48</c:f>
              <c:numCache>
                <c:formatCode>_-* #,##0.00_-;[Red]\(#,##0.00\);_-* "-"_-;_-@_-</c:formatCode>
                <c:ptCount val="29"/>
                <c:pt idx="0">
                  <c:v>60.517720588676802</c:v>
                </c:pt>
                <c:pt idx="1">
                  <c:v>55.517720588676802</c:v>
                </c:pt>
                <c:pt idx="2">
                  <c:v>50.517720588676802</c:v>
                </c:pt>
                <c:pt idx="3">
                  <c:v>45.517720588676802</c:v>
                </c:pt>
                <c:pt idx="4">
                  <c:v>40.517720588676802</c:v>
                </c:pt>
                <c:pt idx="5">
                  <c:v>35.517720588676802</c:v>
                </c:pt>
                <c:pt idx="6">
                  <c:v>30.517720588676802</c:v>
                </c:pt>
                <c:pt idx="7">
                  <c:v>25.517720588676802</c:v>
                </c:pt>
                <c:pt idx="8">
                  <c:v>20.517720588676802</c:v>
                </c:pt>
                <c:pt idx="9">
                  <c:v>15.517720588676802</c:v>
                </c:pt>
                <c:pt idx="10">
                  <c:v>10.517720588676802</c:v>
                </c:pt>
                <c:pt idx="11">
                  <c:v>5.5177205886768022</c:v>
                </c:pt>
                <c:pt idx="12">
                  <c:v>0.51772058867680215</c:v>
                </c:pt>
                <c:pt idx="13">
                  <c:v>-4.4822794113231978</c:v>
                </c:pt>
                <c:pt idx="14">
                  <c:v>-9.4822794113231978</c:v>
                </c:pt>
                <c:pt idx="15">
                  <c:v>-9.4822794113231978</c:v>
                </c:pt>
                <c:pt idx="16">
                  <c:v>-9.4822794113231978</c:v>
                </c:pt>
                <c:pt idx="17">
                  <c:v>-9.4822794113231978</c:v>
                </c:pt>
                <c:pt idx="18">
                  <c:v>-9.4822794113231978</c:v>
                </c:pt>
                <c:pt idx="19">
                  <c:v>-9.4822794113231978</c:v>
                </c:pt>
                <c:pt idx="20">
                  <c:v>-9.4822794113231978</c:v>
                </c:pt>
                <c:pt idx="21">
                  <c:v>-9.4822794113231978</c:v>
                </c:pt>
                <c:pt idx="22">
                  <c:v>-9.4822794113231978</c:v>
                </c:pt>
                <c:pt idx="23">
                  <c:v>-9.4822794113231978</c:v>
                </c:pt>
                <c:pt idx="24">
                  <c:v>-9.4822794113231978</c:v>
                </c:pt>
                <c:pt idx="25">
                  <c:v>-9.4822794113231978</c:v>
                </c:pt>
                <c:pt idx="26">
                  <c:v>-9.4822794113231978</c:v>
                </c:pt>
                <c:pt idx="27">
                  <c:v>-9.4822794113231978</c:v>
                </c:pt>
                <c:pt idx="28">
                  <c:v>-9.4822794113231978</c:v>
                </c:pt>
              </c:numCache>
            </c:numRef>
          </c:yVal>
          <c:smooth val="0"/>
          <c:extLst>
            <c:ext xmlns:c16="http://schemas.microsoft.com/office/drawing/2014/chart" uri="{C3380CC4-5D6E-409C-BE32-E72D297353CC}">
              <c16:uniqueId val="{00000001-2FF6-40AB-868F-36BC849E5F1F}"/>
            </c:ext>
          </c:extLst>
        </c:ser>
        <c:ser>
          <c:idx val="2"/>
          <c:order val="2"/>
          <c:tx>
            <c:v>Long Aktie</c:v>
          </c:tx>
          <c:spPr>
            <a:ln w="19050" cap="rnd">
              <a:solidFill>
                <a:schemeClr val="accent3"/>
              </a:solidFill>
              <a:round/>
            </a:ln>
            <a:effectLst/>
          </c:spPr>
          <c:marker>
            <c:symbol val="none"/>
          </c:marker>
          <c:xVal>
            <c:numRef>
              <c:f>'10-11'!$B$20:$B$48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'10-11'!$S$20:$S$48</c:f>
              <c:numCache>
                <c:formatCode>_-* #,##0.00_-;[Red]\(#,##0.00\);_-* "-"_-;_-@_-</c:formatCode>
                <c:ptCount val="29"/>
                <c:pt idx="0">
                  <c:v>-70</c:v>
                </c:pt>
                <c:pt idx="1">
                  <c:v>-65</c:v>
                </c:pt>
                <c:pt idx="2">
                  <c:v>-60</c:v>
                </c:pt>
                <c:pt idx="3">
                  <c:v>-55</c:v>
                </c:pt>
                <c:pt idx="4">
                  <c:v>-50</c:v>
                </c:pt>
                <c:pt idx="5">
                  <c:v>-45</c:v>
                </c:pt>
                <c:pt idx="6">
                  <c:v>-40</c:v>
                </c:pt>
                <c:pt idx="7">
                  <c:v>-35</c:v>
                </c:pt>
                <c:pt idx="8">
                  <c:v>-30</c:v>
                </c:pt>
                <c:pt idx="9">
                  <c:v>-25</c:v>
                </c:pt>
                <c:pt idx="10">
                  <c:v>-20</c:v>
                </c:pt>
                <c:pt idx="11">
                  <c:v>-15</c:v>
                </c:pt>
                <c:pt idx="12">
                  <c:v>-10</c:v>
                </c:pt>
                <c:pt idx="13">
                  <c:v>-5</c:v>
                </c:pt>
                <c:pt idx="14">
                  <c:v>0</c:v>
                </c:pt>
                <c:pt idx="15">
                  <c:v>5</c:v>
                </c:pt>
                <c:pt idx="16">
                  <c:v>10</c:v>
                </c:pt>
                <c:pt idx="17">
                  <c:v>15</c:v>
                </c:pt>
                <c:pt idx="18">
                  <c:v>20</c:v>
                </c:pt>
                <c:pt idx="19">
                  <c:v>25</c:v>
                </c:pt>
                <c:pt idx="20">
                  <c:v>30</c:v>
                </c:pt>
                <c:pt idx="21">
                  <c:v>35</c:v>
                </c:pt>
                <c:pt idx="22">
                  <c:v>40</c:v>
                </c:pt>
                <c:pt idx="23">
                  <c:v>45</c:v>
                </c:pt>
                <c:pt idx="24">
                  <c:v>50</c:v>
                </c:pt>
                <c:pt idx="25">
                  <c:v>55</c:v>
                </c:pt>
                <c:pt idx="26">
                  <c:v>60</c:v>
                </c:pt>
                <c:pt idx="27">
                  <c:v>65</c:v>
                </c:pt>
                <c:pt idx="28">
                  <c:v>70</c:v>
                </c:pt>
              </c:numCache>
            </c:numRef>
          </c:yVal>
          <c:smooth val="0"/>
          <c:extLst>
            <c:ext xmlns:c16="http://schemas.microsoft.com/office/drawing/2014/chart" uri="{C3380CC4-5D6E-409C-BE32-E72D297353CC}">
              <c16:uniqueId val="{00000002-2FF6-40AB-868F-36BC849E5F1F}"/>
            </c:ext>
          </c:extLst>
        </c:ser>
        <c:dLbls>
          <c:showLegendKey val="0"/>
          <c:showVal val="0"/>
          <c:showCatName val="0"/>
          <c:showSerName val="0"/>
          <c:showPercent val="0"/>
          <c:showBubbleSize val="0"/>
        </c:dLbls>
        <c:axId val="1579385344"/>
        <c:axId val="1579384096"/>
      </c:scatterChart>
      <c:valAx>
        <c:axId val="1579385344"/>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79384096"/>
        <c:crosses val="autoZero"/>
        <c:crossBetween val="midCat"/>
      </c:valAx>
      <c:valAx>
        <c:axId val="1579384096"/>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7938534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Protective Put versus Long Call</a:t>
            </a:r>
          </a:p>
        </c:rich>
      </c:tx>
      <c:layout>
        <c:manualLayout>
          <c:xMode val="edge"/>
          <c:yMode val="edge"/>
          <c:x val="0.42567246128650443"/>
          <c:y val="2.21032387833522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v>Protective Put</c:v>
          </c:tx>
          <c:spPr>
            <a:ln w="19050" cap="rnd">
              <a:solidFill>
                <a:schemeClr val="accent1"/>
              </a:solidFill>
              <a:round/>
            </a:ln>
            <a:effectLst/>
          </c:spPr>
          <c:marker>
            <c:symbol val="none"/>
          </c:marker>
          <c:xVal>
            <c:numRef>
              <c:f>'10-11'!$X$20:$X$48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'10-11'!$AA$20:$AA$48</c:f>
              <c:numCache>
                <c:formatCode>_-* #,##0.00_-;[Red]\(#,##0.00\);_-* "-"_-;_-@_-</c:formatCode>
                <c:ptCount val="29"/>
                <c:pt idx="0">
                  <c:v>-9.4822794113231978</c:v>
                </c:pt>
                <c:pt idx="1">
                  <c:v>-9.4822794113231978</c:v>
                </c:pt>
                <c:pt idx="2">
                  <c:v>-9.4822794113231978</c:v>
                </c:pt>
                <c:pt idx="3">
                  <c:v>-9.4822794113231978</c:v>
                </c:pt>
                <c:pt idx="4">
                  <c:v>-9.4822794113231978</c:v>
                </c:pt>
                <c:pt idx="5">
                  <c:v>-9.4822794113231978</c:v>
                </c:pt>
                <c:pt idx="6">
                  <c:v>-9.4822794113231978</c:v>
                </c:pt>
                <c:pt idx="7">
                  <c:v>-9.4822794113231978</c:v>
                </c:pt>
                <c:pt idx="8">
                  <c:v>-9.4822794113231978</c:v>
                </c:pt>
                <c:pt idx="9">
                  <c:v>-9.4822794113231978</c:v>
                </c:pt>
                <c:pt idx="10">
                  <c:v>-9.4822794113231978</c:v>
                </c:pt>
                <c:pt idx="11">
                  <c:v>-9.4822794113231978</c:v>
                </c:pt>
                <c:pt idx="12">
                  <c:v>-9.4822794113231978</c:v>
                </c:pt>
                <c:pt idx="13">
                  <c:v>-9.4822794113231978</c:v>
                </c:pt>
                <c:pt idx="14">
                  <c:v>-9.4822794113231978</c:v>
                </c:pt>
                <c:pt idx="15">
                  <c:v>-4.4822794113231978</c:v>
                </c:pt>
                <c:pt idx="16">
                  <c:v>0.51772058867680215</c:v>
                </c:pt>
                <c:pt idx="17">
                  <c:v>5.5177205886768022</c:v>
                </c:pt>
                <c:pt idx="18">
                  <c:v>10.517720588676802</c:v>
                </c:pt>
                <c:pt idx="19">
                  <c:v>15.517720588676802</c:v>
                </c:pt>
                <c:pt idx="20">
                  <c:v>20.517720588676802</c:v>
                </c:pt>
                <c:pt idx="21">
                  <c:v>25.517720588676802</c:v>
                </c:pt>
                <c:pt idx="22">
                  <c:v>30.517720588676802</c:v>
                </c:pt>
                <c:pt idx="23">
                  <c:v>35.517720588676802</c:v>
                </c:pt>
                <c:pt idx="24">
                  <c:v>40.517720588676802</c:v>
                </c:pt>
                <c:pt idx="25">
                  <c:v>45.517720588676802</c:v>
                </c:pt>
                <c:pt idx="26">
                  <c:v>50.517720588676802</c:v>
                </c:pt>
                <c:pt idx="27">
                  <c:v>55.517720588676802</c:v>
                </c:pt>
                <c:pt idx="28">
                  <c:v>60.517720588676802</c:v>
                </c:pt>
              </c:numCache>
            </c:numRef>
          </c:yVal>
          <c:smooth val="0"/>
          <c:extLst>
            <c:ext xmlns:c16="http://schemas.microsoft.com/office/drawing/2014/chart" uri="{C3380CC4-5D6E-409C-BE32-E72D297353CC}">
              <c16:uniqueId val="{00000000-D17C-46B6-A007-D3E91AAF5177}"/>
            </c:ext>
          </c:extLst>
        </c:ser>
        <c:ser>
          <c:idx val="1"/>
          <c:order val="1"/>
          <c:tx>
            <c:v>Long Call</c:v>
          </c:tx>
          <c:spPr>
            <a:ln w="19050" cap="rnd">
              <a:solidFill>
                <a:schemeClr val="accent2"/>
              </a:solidFill>
              <a:round/>
            </a:ln>
            <a:effectLst/>
          </c:spPr>
          <c:marker>
            <c:symbol val="none"/>
          </c:marker>
          <c:xVal>
            <c:numRef>
              <c:f>'10-11'!$X$20:$X$48</c:f>
              <c:numCache>
                <c:formatCode>0.00</c:formatCode>
                <c:ptCount val="2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numCache>
            </c:numRef>
          </c:xVal>
          <c:yVal>
            <c:numRef>
              <c:f>'10-11'!$AB$20:$AB$48</c:f>
              <c:numCache>
                <c:formatCode>_-* #,##0.00_-;[Red]\(#,##0.00\);_-* "-"_-;_-@_-</c:formatCode>
                <c:ptCount val="29"/>
                <c:pt idx="0">
                  <c:v>-6.8648048002898712</c:v>
                </c:pt>
                <c:pt idx="1">
                  <c:v>-6.8648048002898712</c:v>
                </c:pt>
                <c:pt idx="2">
                  <c:v>-6.8648048002898712</c:v>
                </c:pt>
                <c:pt idx="3">
                  <c:v>-6.8648048002898712</c:v>
                </c:pt>
                <c:pt idx="4">
                  <c:v>-6.8648048002898712</c:v>
                </c:pt>
                <c:pt idx="5">
                  <c:v>-6.8648048002898712</c:v>
                </c:pt>
                <c:pt idx="6">
                  <c:v>-6.8648048002898712</c:v>
                </c:pt>
                <c:pt idx="7">
                  <c:v>-6.8648048002898712</c:v>
                </c:pt>
                <c:pt idx="8">
                  <c:v>-6.8648048002898712</c:v>
                </c:pt>
                <c:pt idx="9">
                  <c:v>-6.8648048002898712</c:v>
                </c:pt>
                <c:pt idx="10">
                  <c:v>-6.8648048002898712</c:v>
                </c:pt>
                <c:pt idx="11">
                  <c:v>-6.8648048002898712</c:v>
                </c:pt>
                <c:pt idx="12">
                  <c:v>-6.8648048002898712</c:v>
                </c:pt>
                <c:pt idx="13">
                  <c:v>-6.8648048002898712</c:v>
                </c:pt>
                <c:pt idx="14">
                  <c:v>-6.8648048002898712</c:v>
                </c:pt>
                <c:pt idx="15">
                  <c:v>-1.8648048002898712</c:v>
                </c:pt>
                <c:pt idx="16">
                  <c:v>3.1351951997101288</c:v>
                </c:pt>
                <c:pt idx="17">
                  <c:v>8.1351951997101288</c:v>
                </c:pt>
                <c:pt idx="18">
                  <c:v>13.135195199710129</c:v>
                </c:pt>
                <c:pt idx="19">
                  <c:v>18.135195199710129</c:v>
                </c:pt>
                <c:pt idx="20">
                  <c:v>23.135195199710129</c:v>
                </c:pt>
                <c:pt idx="21">
                  <c:v>28.135195199710129</c:v>
                </c:pt>
                <c:pt idx="22">
                  <c:v>33.135195199710125</c:v>
                </c:pt>
                <c:pt idx="23">
                  <c:v>38.135195199710125</c:v>
                </c:pt>
                <c:pt idx="24">
                  <c:v>43.135195199710125</c:v>
                </c:pt>
                <c:pt idx="25">
                  <c:v>48.135195199710125</c:v>
                </c:pt>
                <c:pt idx="26">
                  <c:v>53.135195199710125</c:v>
                </c:pt>
                <c:pt idx="27">
                  <c:v>58.135195199710125</c:v>
                </c:pt>
                <c:pt idx="28">
                  <c:v>63.135195199710125</c:v>
                </c:pt>
              </c:numCache>
            </c:numRef>
          </c:yVal>
          <c:smooth val="0"/>
          <c:extLst>
            <c:ext xmlns:c16="http://schemas.microsoft.com/office/drawing/2014/chart" uri="{C3380CC4-5D6E-409C-BE32-E72D297353CC}">
              <c16:uniqueId val="{00000001-D17C-46B6-A007-D3E91AAF5177}"/>
            </c:ext>
          </c:extLst>
        </c:ser>
        <c:dLbls>
          <c:showLegendKey val="0"/>
          <c:showVal val="0"/>
          <c:showCatName val="0"/>
          <c:showSerName val="0"/>
          <c:showPercent val="0"/>
          <c:showBubbleSize val="0"/>
        </c:dLbls>
        <c:axId val="385687487"/>
        <c:axId val="385692895"/>
      </c:scatterChart>
      <c:valAx>
        <c:axId val="385687487"/>
        <c:scaling>
          <c:orientation val="minMax"/>
          <c:max val="1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5692895"/>
        <c:crosses val="autoZero"/>
        <c:crossBetween val="midCat"/>
      </c:valAx>
      <c:valAx>
        <c:axId val="385692895"/>
        <c:scaling>
          <c:orientation val="minMax"/>
        </c:scaling>
        <c:delete val="0"/>
        <c:axPos val="l"/>
        <c:majorGridlines>
          <c:spPr>
            <a:ln w="9525" cap="flat" cmpd="sng" algn="ctr">
              <a:solidFill>
                <a:schemeClr val="tx1">
                  <a:lumMod val="15000"/>
                  <a:lumOff val="85000"/>
                </a:schemeClr>
              </a:solidFill>
              <a:round/>
            </a:ln>
            <a:effectLst/>
          </c:spPr>
        </c:majorGridlines>
        <c:numFmt formatCode="_-* #,##0.00_-;[Red]\(#,##0.0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85687487"/>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357187</xdr:colOff>
      <xdr:row>6</xdr:row>
      <xdr:rowOff>119062</xdr:rowOff>
    </xdr:from>
    <xdr:to>
      <xdr:col>4</xdr:col>
      <xdr:colOff>56398</xdr:colOff>
      <xdr:row>17</xdr:row>
      <xdr:rowOff>100012</xdr:rowOff>
    </xdr:to>
    <xdr:graphicFrame macro="">
      <xdr:nvGraphicFramePr>
        <xdr:cNvPr id="5" name="Chart 4">
          <a:extLst>
            <a:ext uri="{FF2B5EF4-FFF2-40B4-BE49-F238E27FC236}">
              <a16:creationId xmlns:a16="http://schemas.microsoft.com/office/drawing/2014/main" id="{79DAD536-1599-49B1-974A-186AC5522A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415584</xdr:colOff>
      <xdr:row>4</xdr:row>
      <xdr:rowOff>79828</xdr:rowOff>
    </xdr:from>
    <xdr:to>
      <xdr:col>10</xdr:col>
      <xdr:colOff>423522</xdr:colOff>
      <xdr:row>19</xdr:row>
      <xdr:rowOff>90260</xdr:rowOff>
    </xdr:to>
    <xdr:graphicFrame macro="">
      <xdr:nvGraphicFramePr>
        <xdr:cNvPr id="3" name="Diagramm 2">
          <a:extLst>
            <a:ext uri="{FF2B5EF4-FFF2-40B4-BE49-F238E27FC236}">
              <a16:creationId xmlns:a16="http://schemas.microsoft.com/office/drawing/2014/main" id="{41CCF189-06CD-4729-A138-E748B69B50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466611</xdr:colOff>
      <xdr:row>21</xdr:row>
      <xdr:rowOff>85498</xdr:rowOff>
    </xdr:from>
    <xdr:to>
      <xdr:col>10</xdr:col>
      <xdr:colOff>474549</xdr:colOff>
      <xdr:row>36</xdr:row>
      <xdr:rowOff>107269</xdr:rowOff>
    </xdr:to>
    <xdr:graphicFrame macro="">
      <xdr:nvGraphicFramePr>
        <xdr:cNvPr id="4" name="Diagramm 3">
          <a:extLst>
            <a:ext uri="{FF2B5EF4-FFF2-40B4-BE49-F238E27FC236}">
              <a16:creationId xmlns:a16="http://schemas.microsoft.com/office/drawing/2014/main" id="{05B1E934-BFC9-4C23-8BB4-2A45FA5C8F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409575</xdr:colOff>
      <xdr:row>7</xdr:row>
      <xdr:rowOff>149225</xdr:rowOff>
    </xdr:from>
    <xdr:to>
      <xdr:col>12</xdr:col>
      <xdr:colOff>104775</xdr:colOff>
      <xdr:row>22</xdr:row>
      <xdr:rowOff>117475</xdr:rowOff>
    </xdr:to>
    <xdr:graphicFrame macro="">
      <xdr:nvGraphicFramePr>
        <xdr:cNvPr id="3" name="Chart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600075</xdr:colOff>
      <xdr:row>7</xdr:row>
      <xdr:rowOff>149225</xdr:rowOff>
    </xdr:from>
    <xdr:to>
      <xdr:col>12</xdr:col>
      <xdr:colOff>295275</xdr:colOff>
      <xdr:row>22</xdr:row>
      <xdr:rowOff>117475</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4</xdr:col>
      <xdr:colOff>600075</xdr:colOff>
      <xdr:row>10</xdr:row>
      <xdr:rowOff>149225</xdr:rowOff>
    </xdr:from>
    <xdr:to>
      <xdr:col>12</xdr:col>
      <xdr:colOff>295275</xdr:colOff>
      <xdr:row>25</xdr:row>
      <xdr:rowOff>117475</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600075</xdr:colOff>
      <xdr:row>7</xdr:row>
      <xdr:rowOff>149225</xdr:rowOff>
    </xdr:from>
    <xdr:to>
      <xdr:col>12</xdr:col>
      <xdr:colOff>295275</xdr:colOff>
      <xdr:row>22</xdr:row>
      <xdr:rowOff>117475</xdr:rowOff>
    </xdr:to>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4</xdr:col>
      <xdr:colOff>1360</xdr:colOff>
      <xdr:row>3</xdr:row>
      <xdr:rowOff>180626</xdr:rowOff>
    </xdr:from>
    <xdr:to>
      <xdr:col>11</xdr:col>
      <xdr:colOff>350749</xdr:colOff>
      <xdr:row>18</xdr:row>
      <xdr:rowOff>148877</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4</xdr:col>
      <xdr:colOff>149225</xdr:colOff>
      <xdr:row>7</xdr:row>
      <xdr:rowOff>117475</xdr:rowOff>
    </xdr:from>
    <xdr:to>
      <xdr:col>11</xdr:col>
      <xdr:colOff>454025</xdr:colOff>
      <xdr:row>22</xdr:row>
      <xdr:rowOff>85725</xdr:rowOff>
    </xdr:to>
    <xdr:graphicFrame macro="">
      <xdr:nvGraphicFramePr>
        <xdr:cNvPr id="2" name="Chart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4</xdr:col>
      <xdr:colOff>555625</xdr:colOff>
      <xdr:row>9</xdr:row>
      <xdr:rowOff>79375</xdr:rowOff>
    </xdr:from>
    <xdr:to>
      <xdr:col>12</xdr:col>
      <xdr:colOff>250825</xdr:colOff>
      <xdr:row>24</xdr:row>
      <xdr:rowOff>47625</xdr:rowOff>
    </xdr:to>
    <xdr:graphicFrame macro="">
      <xdr:nvGraphicFramePr>
        <xdr:cNvPr id="2" name="Chart 1">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130175</xdr:colOff>
      <xdr:row>10</xdr:row>
      <xdr:rowOff>15875</xdr:rowOff>
    </xdr:from>
    <xdr:to>
      <xdr:col>12</xdr:col>
      <xdr:colOff>434975</xdr:colOff>
      <xdr:row>24</xdr:row>
      <xdr:rowOff>168275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4</xdr:col>
      <xdr:colOff>238125</xdr:colOff>
      <xdr:row>10</xdr:row>
      <xdr:rowOff>117475</xdr:rowOff>
    </xdr:from>
    <xdr:to>
      <xdr:col>11</xdr:col>
      <xdr:colOff>542925</xdr:colOff>
      <xdr:row>25</xdr:row>
      <xdr:rowOff>85725</xdr:rowOff>
    </xdr:to>
    <xdr:graphicFrame macro="">
      <xdr:nvGraphicFramePr>
        <xdr:cNvPr id="2" name="Chart 1">
          <a:extLst>
            <a:ext uri="{FF2B5EF4-FFF2-40B4-BE49-F238E27FC236}">
              <a16:creationId xmlns:a16="http://schemas.microsoft.com/office/drawing/2014/main" id="{00000000-0008-0000-1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19572</xdr:colOff>
      <xdr:row>6</xdr:row>
      <xdr:rowOff>71436</xdr:rowOff>
    </xdr:from>
    <xdr:to>
      <xdr:col>4</xdr:col>
      <xdr:colOff>26095</xdr:colOff>
      <xdr:row>17</xdr:row>
      <xdr:rowOff>104774</xdr:rowOff>
    </xdr:to>
    <xdr:graphicFrame macro="">
      <xdr:nvGraphicFramePr>
        <xdr:cNvPr id="4" name="Chart 3">
          <a:extLst>
            <a:ext uri="{FF2B5EF4-FFF2-40B4-BE49-F238E27FC236}">
              <a16:creationId xmlns:a16="http://schemas.microsoft.com/office/drawing/2014/main" id="{FF2CCA42-5D65-4674-A636-8827610F20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4</xdr:col>
      <xdr:colOff>68262</xdr:colOff>
      <xdr:row>4</xdr:row>
      <xdr:rowOff>4763</xdr:rowOff>
    </xdr:from>
    <xdr:to>
      <xdr:col>11</xdr:col>
      <xdr:colOff>415924</xdr:colOff>
      <xdr:row>18</xdr:row>
      <xdr:rowOff>157163</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96837</xdr:colOff>
      <xdr:row>3</xdr:row>
      <xdr:rowOff>177801</xdr:rowOff>
    </xdr:from>
    <xdr:to>
      <xdr:col>11</xdr:col>
      <xdr:colOff>444500</xdr:colOff>
      <xdr:row>18</xdr:row>
      <xdr:rowOff>141288</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134937</xdr:colOff>
      <xdr:row>4</xdr:row>
      <xdr:rowOff>68262</xdr:rowOff>
    </xdr:from>
    <xdr:to>
      <xdr:col>11</xdr:col>
      <xdr:colOff>482600</xdr:colOff>
      <xdr:row>19</xdr:row>
      <xdr:rowOff>36512</xdr:rowOff>
    </xdr:to>
    <xdr:graphicFrame macro="">
      <xdr:nvGraphicFramePr>
        <xdr:cNvPr id="2" name="Chart 1">
          <a:extLst>
            <a:ext uri="{FF2B5EF4-FFF2-40B4-BE49-F238E27FC236}">
              <a16:creationId xmlns:a16="http://schemas.microsoft.com/office/drawing/2014/main" id="{00000000-0008-0000-1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4</xdr:col>
      <xdr:colOff>358775</xdr:colOff>
      <xdr:row>7</xdr:row>
      <xdr:rowOff>149225</xdr:rowOff>
    </xdr:from>
    <xdr:to>
      <xdr:col>12</xdr:col>
      <xdr:colOff>53975</xdr:colOff>
      <xdr:row>22</xdr:row>
      <xdr:rowOff>117475</xdr:rowOff>
    </xdr:to>
    <xdr:graphicFrame macro="">
      <xdr:nvGraphicFramePr>
        <xdr:cNvPr id="2" name="Chart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4</xdr:col>
      <xdr:colOff>621109</xdr:colOff>
      <xdr:row>4</xdr:row>
      <xdr:rowOff>54769</xdr:rowOff>
    </xdr:from>
    <xdr:to>
      <xdr:col>12</xdr:col>
      <xdr:colOff>316309</xdr:colOff>
      <xdr:row>19</xdr:row>
      <xdr:rowOff>23019</xdr:rowOff>
    </xdr:to>
    <xdr:graphicFrame macro="">
      <xdr:nvGraphicFramePr>
        <xdr:cNvPr id="2" name="Chart 1">
          <a:extLst>
            <a:ext uri="{FF2B5EF4-FFF2-40B4-BE49-F238E27FC236}">
              <a16:creationId xmlns:a16="http://schemas.microsoft.com/office/drawing/2014/main" id="{00000000-0008-0000-1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4</xdr:col>
      <xdr:colOff>19294</xdr:colOff>
      <xdr:row>4</xdr:row>
      <xdr:rowOff>9770</xdr:rowOff>
    </xdr:from>
    <xdr:to>
      <xdr:col>11</xdr:col>
      <xdr:colOff>324094</xdr:colOff>
      <xdr:row>18</xdr:row>
      <xdr:rowOff>161193</xdr:rowOff>
    </xdr:to>
    <xdr:graphicFrame macro="">
      <xdr:nvGraphicFramePr>
        <xdr:cNvPr id="2" name="Chart 1">
          <a:extLst>
            <a:ext uri="{FF2B5EF4-FFF2-40B4-BE49-F238E27FC236}">
              <a16:creationId xmlns:a16="http://schemas.microsoft.com/office/drawing/2014/main" id="{00000000-0008-0000-1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5</xdr:col>
      <xdr:colOff>28575</xdr:colOff>
      <xdr:row>9</xdr:row>
      <xdr:rowOff>174625</xdr:rowOff>
    </xdr:from>
    <xdr:to>
      <xdr:col>12</xdr:col>
      <xdr:colOff>333375</xdr:colOff>
      <xdr:row>24</xdr:row>
      <xdr:rowOff>142875</xdr:rowOff>
    </xdr:to>
    <xdr:graphicFrame macro="">
      <xdr:nvGraphicFramePr>
        <xdr:cNvPr id="2" name="Chart 1">
          <a:extLst>
            <a:ext uri="{FF2B5EF4-FFF2-40B4-BE49-F238E27FC236}">
              <a16:creationId xmlns:a16="http://schemas.microsoft.com/office/drawing/2014/main" id="{00000000-0008-0000-1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4</xdr:col>
      <xdr:colOff>504825</xdr:colOff>
      <xdr:row>9</xdr:row>
      <xdr:rowOff>123825</xdr:rowOff>
    </xdr:from>
    <xdr:to>
      <xdr:col>12</xdr:col>
      <xdr:colOff>200025</xdr:colOff>
      <xdr:row>24</xdr:row>
      <xdr:rowOff>92075</xdr:rowOff>
    </xdr:to>
    <xdr:graphicFrame macro="">
      <xdr:nvGraphicFramePr>
        <xdr:cNvPr id="2" name="Chart 1">
          <a:extLst>
            <a:ext uri="{FF2B5EF4-FFF2-40B4-BE49-F238E27FC236}">
              <a16:creationId xmlns:a16="http://schemas.microsoft.com/office/drawing/2014/main" id="{00000000-0008-0000-1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4</xdr:col>
      <xdr:colOff>111613</xdr:colOff>
      <xdr:row>4</xdr:row>
      <xdr:rowOff>3664</xdr:rowOff>
    </xdr:from>
    <xdr:to>
      <xdr:col>11</xdr:col>
      <xdr:colOff>460131</xdr:colOff>
      <xdr:row>18</xdr:row>
      <xdr:rowOff>155088</xdr:rowOff>
    </xdr:to>
    <xdr:graphicFrame macro="">
      <xdr:nvGraphicFramePr>
        <xdr:cNvPr id="2" name="Chart 1">
          <a:extLst>
            <a:ext uri="{FF2B5EF4-FFF2-40B4-BE49-F238E27FC236}">
              <a16:creationId xmlns:a16="http://schemas.microsoft.com/office/drawing/2014/main" id="{00000000-0008-0000-1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6</xdr:col>
      <xdr:colOff>34925</xdr:colOff>
      <xdr:row>11</xdr:row>
      <xdr:rowOff>15875</xdr:rowOff>
    </xdr:from>
    <xdr:to>
      <xdr:col>13</xdr:col>
      <xdr:colOff>339725</xdr:colOff>
      <xdr:row>25</xdr:row>
      <xdr:rowOff>174625</xdr:rowOff>
    </xdr:to>
    <xdr:graphicFrame macro="">
      <xdr:nvGraphicFramePr>
        <xdr:cNvPr id="2" name="Chart 1">
          <a:extLst>
            <a:ext uri="{FF2B5EF4-FFF2-40B4-BE49-F238E27FC236}">
              <a16:creationId xmlns:a16="http://schemas.microsoft.com/office/drawing/2014/main" id="{00000000-0008-0000-1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416719</xdr:colOff>
      <xdr:row>6</xdr:row>
      <xdr:rowOff>61912</xdr:rowOff>
    </xdr:from>
    <xdr:to>
      <xdr:col>4</xdr:col>
      <xdr:colOff>9525</xdr:colOff>
      <xdr:row>17</xdr:row>
      <xdr:rowOff>90487</xdr:rowOff>
    </xdr:to>
    <xdr:graphicFrame macro="">
      <xdr:nvGraphicFramePr>
        <xdr:cNvPr id="5" name="Chart 4">
          <a:extLst>
            <a:ext uri="{FF2B5EF4-FFF2-40B4-BE49-F238E27FC236}">
              <a16:creationId xmlns:a16="http://schemas.microsoft.com/office/drawing/2014/main" id="{65D49093-3329-4913-8248-0419D62CC1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4</xdr:col>
      <xdr:colOff>51152</xdr:colOff>
      <xdr:row>3</xdr:row>
      <xdr:rowOff>175330</xdr:rowOff>
    </xdr:from>
    <xdr:to>
      <xdr:col>11</xdr:col>
      <xdr:colOff>375707</xdr:colOff>
      <xdr:row>18</xdr:row>
      <xdr:rowOff>156280</xdr:rowOff>
    </xdr:to>
    <xdr:graphicFrame macro="">
      <xdr:nvGraphicFramePr>
        <xdr:cNvPr id="2" name="Chart 1">
          <a:extLst>
            <a:ext uri="{FF2B5EF4-FFF2-40B4-BE49-F238E27FC236}">
              <a16:creationId xmlns:a16="http://schemas.microsoft.com/office/drawing/2014/main" id="{00000000-0008-0000-1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5</xdr:col>
      <xdr:colOff>88195</xdr:colOff>
      <xdr:row>4</xdr:row>
      <xdr:rowOff>103010</xdr:rowOff>
    </xdr:from>
    <xdr:to>
      <xdr:col>12</xdr:col>
      <xdr:colOff>412750</xdr:colOff>
      <xdr:row>19</xdr:row>
      <xdr:rowOff>83960</xdr:rowOff>
    </xdr:to>
    <xdr:graphicFrame macro="">
      <xdr:nvGraphicFramePr>
        <xdr:cNvPr id="2" name="Chart 1">
          <a:extLst>
            <a:ext uri="{FF2B5EF4-FFF2-40B4-BE49-F238E27FC236}">
              <a16:creationId xmlns:a16="http://schemas.microsoft.com/office/drawing/2014/main" id="{00000000-0008-0000-2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4</xdr:col>
      <xdr:colOff>14111</xdr:colOff>
      <xdr:row>4</xdr:row>
      <xdr:rowOff>55386</xdr:rowOff>
    </xdr:from>
    <xdr:to>
      <xdr:col>11</xdr:col>
      <xdr:colOff>338666</xdr:colOff>
      <xdr:row>19</xdr:row>
      <xdr:rowOff>36336</xdr:rowOff>
    </xdr:to>
    <xdr:graphicFrame macro="">
      <xdr:nvGraphicFramePr>
        <xdr:cNvPr id="2" name="Chart 1">
          <a:extLst>
            <a:ext uri="{FF2B5EF4-FFF2-40B4-BE49-F238E27FC236}">
              <a16:creationId xmlns:a16="http://schemas.microsoft.com/office/drawing/2014/main" id="{00000000-0008-0000-2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5</xdr:col>
      <xdr:colOff>61736</xdr:colOff>
      <xdr:row>4</xdr:row>
      <xdr:rowOff>39510</xdr:rowOff>
    </xdr:from>
    <xdr:to>
      <xdr:col>12</xdr:col>
      <xdr:colOff>386291</xdr:colOff>
      <xdr:row>19</xdr:row>
      <xdr:rowOff>20460</xdr:rowOff>
    </xdr:to>
    <xdr:graphicFrame macro="">
      <xdr:nvGraphicFramePr>
        <xdr:cNvPr id="2" name="Chart 1">
          <a:extLst>
            <a:ext uri="{FF2B5EF4-FFF2-40B4-BE49-F238E27FC236}">
              <a16:creationId xmlns:a16="http://schemas.microsoft.com/office/drawing/2014/main" id="{00000000-0008-0000-2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46</xdr:col>
      <xdr:colOff>249239</xdr:colOff>
      <xdr:row>82</xdr:row>
      <xdr:rowOff>116683</xdr:rowOff>
    </xdr:from>
    <xdr:to>
      <xdr:col>72</xdr:col>
      <xdr:colOff>597582</xdr:colOff>
      <xdr:row>138</xdr:row>
      <xdr:rowOff>167257</xdr:rowOff>
    </xdr:to>
    <xdr:graphicFrame macro="">
      <xdr:nvGraphicFramePr>
        <xdr:cNvPr id="2" name="Chart 1">
          <a:extLst>
            <a:ext uri="{FF2B5EF4-FFF2-40B4-BE49-F238E27FC236}">
              <a16:creationId xmlns:a16="http://schemas.microsoft.com/office/drawing/2014/main" id="{60BCD006-420C-40A7-AA0B-557AD35887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1</xdr:col>
      <xdr:colOff>1586</xdr:colOff>
      <xdr:row>21</xdr:row>
      <xdr:rowOff>32279</xdr:rowOff>
    </xdr:from>
    <xdr:to>
      <xdr:col>3</xdr:col>
      <xdr:colOff>14287</xdr:colOff>
      <xdr:row>24</xdr:row>
      <xdr:rowOff>108479</xdr:rowOff>
    </xdr:to>
    <xdr:sp macro="" textlink="">
      <xdr:nvSpPr>
        <xdr:cNvPr id="3" name="Rechteck 2">
          <a:extLst>
            <a:ext uri="{FF2B5EF4-FFF2-40B4-BE49-F238E27FC236}">
              <a16:creationId xmlns:a16="http://schemas.microsoft.com/office/drawing/2014/main" id="{EEA17CCB-C475-43F3-9572-3C260D5E621D}"/>
            </a:ext>
          </a:extLst>
        </xdr:cNvPr>
        <xdr:cNvSpPr/>
      </xdr:nvSpPr>
      <xdr:spPr>
        <a:xfrm>
          <a:off x="354011" y="3999442"/>
          <a:ext cx="4132264" cy="676275"/>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DE" sz="1100">
              <a:solidFill>
                <a:schemeClr val="accent4">
                  <a:lumMod val="75000"/>
                </a:schemeClr>
              </a:solidFill>
            </a:rPr>
            <a:t>→</a:t>
          </a:r>
          <a:r>
            <a:rPr lang="de-DE" sz="1100" baseline="0">
              <a:solidFill>
                <a:schemeClr val="tx1"/>
              </a:solidFill>
            </a:rPr>
            <a:t> : konstant		</a:t>
          </a:r>
          <a:r>
            <a:rPr lang="de-DE" sz="1100" baseline="0">
              <a:solidFill>
                <a:srgbClr val="FF0000"/>
              </a:solidFill>
            </a:rPr>
            <a:t>↘</a:t>
          </a:r>
          <a:r>
            <a:rPr lang="de-DE" sz="1100" baseline="0">
              <a:solidFill>
                <a:schemeClr val="tx1"/>
              </a:solidFill>
            </a:rPr>
            <a:t> : moderater Rückgang</a:t>
          </a:r>
          <a:endParaRPr lang="de-DE" sz="1100">
            <a:solidFill>
              <a:schemeClr val="tx1"/>
            </a:solidFill>
          </a:endParaRPr>
        </a:p>
        <a:p>
          <a:pPr algn="l"/>
          <a:r>
            <a:rPr lang="de-DE" sz="1100">
              <a:solidFill>
                <a:srgbClr val="00B050"/>
              </a:solidFill>
            </a:rPr>
            <a:t>↗</a:t>
          </a:r>
          <a:r>
            <a:rPr lang="de-DE" sz="1100">
              <a:solidFill>
                <a:schemeClr val="tx1"/>
              </a:solidFill>
            </a:rPr>
            <a:t> :</a:t>
          </a:r>
          <a:r>
            <a:rPr lang="de-DE" sz="1100" baseline="0">
              <a:solidFill>
                <a:schemeClr val="tx1"/>
              </a:solidFill>
            </a:rPr>
            <a:t> moderater Anstieg	</a:t>
          </a:r>
          <a:r>
            <a:rPr lang="de-DE" sz="1100" baseline="0">
              <a:solidFill>
                <a:srgbClr val="FF0000"/>
              </a:solidFill>
            </a:rPr>
            <a:t>↓</a:t>
          </a:r>
          <a:r>
            <a:rPr lang="de-DE" sz="1100" baseline="0">
              <a:solidFill>
                <a:schemeClr val="tx1"/>
              </a:solidFill>
            </a:rPr>
            <a:t> : starker Rückgang</a:t>
          </a:r>
          <a:endParaRPr lang="de-DE" sz="1100">
            <a:solidFill>
              <a:schemeClr val="tx1"/>
            </a:solidFill>
          </a:endParaRPr>
        </a:p>
        <a:p>
          <a:pPr algn="l"/>
          <a:r>
            <a:rPr lang="de-DE" sz="1100">
              <a:solidFill>
                <a:srgbClr val="00B050"/>
              </a:solidFill>
            </a:rPr>
            <a:t>↑</a:t>
          </a:r>
          <a:r>
            <a:rPr lang="de-DE" sz="1100">
              <a:solidFill>
                <a:schemeClr val="tx1"/>
              </a:solidFill>
            </a:rPr>
            <a:t> : starker Anstieg</a:t>
          </a:r>
        </a:p>
      </xdr:txBody>
    </xdr:sp>
    <xdr:clientData/>
  </xdr:twoCellAnchor>
  <xdr:twoCellAnchor>
    <xdr:from>
      <xdr:col>3</xdr:col>
      <xdr:colOff>578192</xdr:colOff>
      <xdr:row>81</xdr:row>
      <xdr:rowOff>44600</xdr:rowOff>
    </xdr:from>
    <xdr:to>
      <xdr:col>5</xdr:col>
      <xdr:colOff>192816</xdr:colOff>
      <xdr:row>96</xdr:row>
      <xdr:rowOff>84759</xdr:rowOff>
    </xdr:to>
    <xdr:graphicFrame macro="">
      <xdr:nvGraphicFramePr>
        <xdr:cNvPr id="4" name="Chart 3">
          <a:extLst>
            <a:ext uri="{FF2B5EF4-FFF2-40B4-BE49-F238E27FC236}">
              <a16:creationId xmlns:a16="http://schemas.microsoft.com/office/drawing/2014/main" id="{F9A9CB6B-D2CB-4799-8038-684F1215130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21431</xdr:colOff>
      <xdr:row>6</xdr:row>
      <xdr:rowOff>57152</xdr:rowOff>
    </xdr:from>
    <xdr:to>
      <xdr:col>4</xdr:col>
      <xdr:colOff>0</xdr:colOff>
      <xdr:row>17</xdr:row>
      <xdr:rowOff>119064</xdr:rowOff>
    </xdr:to>
    <xdr:graphicFrame macro="">
      <xdr:nvGraphicFramePr>
        <xdr:cNvPr id="4" name="Chart 3">
          <a:extLst>
            <a:ext uri="{FF2B5EF4-FFF2-40B4-BE49-F238E27FC236}">
              <a16:creationId xmlns:a16="http://schemas.microsoft.com/office/drawing/2014/main" id="{D582B24E-73AC-4A90-B007-FE624E5AA9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27453</xdr:colOff>
      <xdr:row>4</xdr:row>
      <xdr:rowOff>29133</xdr:rowOff>
    </xdr:from>
    <xdr:to>
      <xdr:col>12</xdr:col>
      <xdr:colOff>440079</xdr:colOff>
      <xdr:row>18</xdr:row>
      <xdr:rowOff>18084</xdr:rowOff>
    </xdr:to>
    <xdr:graphicFrame macro="">
      <xdr:nvGraphicFramePr>
        <xdr:cNvPr id="5" name="Diagramm 4">
          <a:extLst>
            <a:ext uri="{FF2B5EF4-FFF2-40B4-BE49-F238E27FC236}">
              <a16:creationId xmlns:a16="http://schemas.microsoft.com/office/drawing/2014/main" id="{21A1E4C6-18DC-4E84-8BD0-7ACDA93DAB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35595</xdr:colOff>
      <xdr:row>19</xdr:row>
      <xdr:rowOff>97149</xdr:rowOff>
    </xdr:from>
    <xdr:to>
      <xdr:col>12</xdr:col>
      <xdr:colOff>470957</xdr:colOff>
      <xdr:row>36</xdr:row>
      <xdr:rowOff>84945</xdr:rowOff>
    </xdr:to>
    <xdr:graphicFrame macro="">
      <xdr:nvGraphicFramePr>
        <xdr:cNvPr id="6" name="Diagramm 5">
          <a:extLst>
            <a:ext uri="{FF2B5EF4-FFF2-40B4-BE49-F238E27FC236}">
              <a16:creationId xmlns:a16="http://schemas.microsoft.com/office/drawing/2014/main" id="{D22958DD-670C-49B0-BC89-8BD44E6E06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281608</xdr:colOff>
      <xdr:row>3</xdr:row>
      <xdr:rowOff>157232</xdr:rowOff>
    </xdr:from>
    <xdr:to>
      <xdr:col>11</xdr:col>
      <xdr:colOff>287820</xdr:colOff>
      <xdr:row>18</xdr:row>
      <xdr:rowOff>165445</xdr:rowOff>
    </xdr:to>
    <xdr:graphicFrame macro="">
      <xdr:nvGraphicFramePr>
        <xdr:cNvPr id="3" name="Diagramm 2">
          <a:extLst>
            <a:ext uri="{FF2B5EF4-FFF2-40B4-BE49-F238E27FC236}">
              <a16:creationId xmlns:a16="http://schemas.microsoft.com/office/drawing/2014/main" id="{341F91C1-516C-4DC9-BB40-B93E8E6B247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286786</xdr:colOff>
      <xdr:row>20</xdr:row>
      <xdr:rowOff>117544</xdr:rowOff>
    </xdr:from>
    <xdr:to>
      <xdr:col>11</xdr:col>
      <xdr:colOff>292998</xdr:colOff>
      <xdr:row>35</xdr:row>
      <xdr:rowOff>143012</xdr:rowOff>
    </xdr:to>
    <xdr:graphicFrame macro="">
      <xdr:nvGraphicFramePr>
        <xdr:cNvPr id="4" name="Diagramm 3">
          <a:extLst>
            <a:ext uri="{FF2B5EF4-FFF2-40B4-BE49-F238E27FC236}">
              <a16:creationId xmlns:a16="http://schemas.microsoft.com/office/drawing/2014/main" id="{88CCEF3E-ECCD-4CBC-9F54-33768D9AB1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314050</xdr:colOff>
      <xdr:row>37</xdr:row>
      <xdr:rowOff>34511</xdr:rowOff>
    </xdr:from>
    <xdr:to>
      <xdr:col>13</xdr:col>
      <xdr:colOff>234674</xdr:colOff>
      <xdr:row>54</xdr:row>
      <xdr:rowOff>138044</xdr:rowOff>
    </xdr:to>
    <xdr:graphicFrame macro="">
      <xdr:nvGraphicFramePr>
        <xdr:cNvPr id="6" name="Diagramm 5">
          <a:extLst>
            <a:ext uri="{FF2B5EF4-FFF2-40B4-BE49-F238E27FC236}">
              <a16:creationId xmlns:a16="http://schemas.microsoft.com/office/drawing/2014/main" id="{07D19B40-9BD7-48BE-A500-66B6040757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395005</xdr:colOff>
      <xdr:row>3</xdr:row>
      <xdr:rowOff>141193</xdr:rowOff>
    </xdr:from>
    <xdr:to>
      <xdr:col>10</xdr:col>
      <xdr:colOff>546285</xdr:colOff>
      <xdr:row>18</xdr:row>
      <xdr:rowOff>155761</xdr:rowOff>
    </xdr:to>
    <xdr:graphicFrame macro="">
      <xdr:nvGraphicFramePr>
        <xdr:cNvPr id="3" name="Diagramm 2">
          <a:extLst>
            <a:ext uri="{FF2B5EF4-FFF2-40B4-BE49-F238E27FC236}">
              <a16:creationId xmlns:a16="http://schemas.microsoft.com/office/drawing/2014/main" id="{B8EE0AA9-3824-4CD1-B251-FEE219FDBD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417418</xdr:colOff>
      <xdr:row>21</xdr:row>
      <xdr:rowOff>6721</xdr:rowOff>
    </xdr:from>
    <xdr:to>
      <xdr:col>11</xdr:col>
      <xdr:colOff>386603</xdr:colOff>
      <xdr:row>38</xdr:row>
      <xdr:rowOff>67234</xdr:rowOff>
    </xdr:to>
    <xdr:graphicFrame macro="">
      <xdr:nvGraphicFramePr>
        <xdr:cNvPr id="4" name="Diagramm 3">
          <a:extLst>
            <a:ext uri="{FF2B5EF4-FFF2-40B4-BE49-F238E27FC236}">
              <a16:creationId xmlns:a16="http://schemas.microsoft.com/office/drawing/2014/main" id="{39CBE774-686C-4652-BFB1-DEA676A048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10218</xdr:colOff>
      <xdr:row>29</xdr:row>
      <xdr:rowOff>92391</xdr:rowOff>
    </xdr:from>
    <xdr:to>
      <xdr:col>12</xdr:col>
      <xdr:colOff>231011</xdr:colOff>
      <xdr:row>48</xdr:row>
      <xdr:rowOff>2350</xdr:rowOff>
    </xdr:to>
    <xdr:graphicFrame macro="">
      <xdr:nvGraphicFramePr>
        <xdr:cNvPr id="4" name="Diagramm 3">
          <a:extLst>
            <a:ext uri="{FF2B5EF4-FFF2-40B4-BE49-F238E27FC236}">
              <a16:creationId xmlns:a16="http://schemas.microsoft.com/office/drawing/2014/main" id="{142F00BE-4781-46A6-A7E7-D6F263537F0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12307</xdr:colOff>
      <xdr:row>4</xdr:row>
      <xdr:rowOff>65174</xdr:rowOff>
    </xdr:from>
    <xdr:to>
      <xdr:col>12</xdr:col>
      <xdr:colOff>203343</xdr:colOff>
      <xdr:row>21</xdr:row>
      <xdr:rowOff>171235</xdr:rowOff>
    </xdr:to>
    <xdr:graphicFrame macro="">
      <xdr:nvGraphicFramePr>
        <xdr:cNvPr id="5" name="Diagramm 4">
          <a:extLst>
            <a:ext uri="{FF2B5EF4-FFF2-40B4-BE49-F238E27FC236}">
              <a16:creationId xmlns:a16="http://schemas.microsoft.com/office/drawing/2014/main" id="{76009723-71A6-470B-BADA-9D0C5A812E9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48719</xdr:colOff>
      <xdr:row>4</xdr:row>
      <xdr:rowOff>13356</xdr:rowOff>
    </xdr:from>
    <xdr:to>
      <xdr:col>12</xdr:col>
      <xdr:colOff>339397</xdr:colOff>
      <xdr:row>23</xdr:row>
      <xdr:rowOff>87586</xdr:rowOff>
    </xdr:to>
    <xdr:graphicFrame macro="">
      <xdr:nvGraphicFramePr>
        <xdr:cNvPr id="3" name="Diagramm 2">
          <a:extLst>
            <a:ext uri="{FF2B5EF4-FFF2-40B4-BE49-F238E27FC236}">
              <a16:creationId xmlns:a16="http://schemas.microsoft.com/office/drawing/2014/main" id="{DD4E6DD2-CF6E-4E6B-92D3-C6D3679C6E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26823</xdr:colOff>
      <xdr:row>27</xdr:row>
      <xdr:rowOff>35251</xdr:rowOff>
    </xdr:from>
    <xdr:to>
      <xdr:col>12</xdr:col>
      <xdr:colOff>312025</xdr:colOff>
      <xdr:row>45</xdr:row>
      <xdr:rowOff>158748</xdr:rowOff>
    </xdr:to>
    <xdr:graphicFrame macro="">
      <xdr:nvGraphicFramePr>
        <xdr:cNvPr id="4" name="Diagramm 3">
          <a:extLst>
            <a:ext uri="{FF2B5EF4-FFF2-40B4-BE49-F238E27FC236}">
              <a16:creationId xmlns:a16="http://schemas.microsoft.com/office/drawing/2014/main" id="{924499DA-3293-4925-8E8B-30E244FCB4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zum%20Buch%20-%20course%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sammenfassung Option"/>
      <sheetName val="Input"/>
      <sheetName val="3"/>
      <sheetName val="4"/>
      <sheetName val="5"/>
      <sheetName val="6"/>
      <sheetName val="7"/>
      <sheetName val="8"/>
      <sheetName val="9"/>
      <sheetName val="10"/>
      <sheetName val="11"/>
      <sheetName val="12 - 19"/>
      <sheetName val="22"/>
    </sheetNames>
    <sheetDataSet>
      <sheetData sheetId="0"/>
      <sheetData sheetId="1"/>
      <sheetData sheetId="2"/>
      <sheetData sheetId="3"/>
      <sheetData sheetId="4"/>
      <sheetData sheetId="5">
        <row r="10">
          <cell r="B10" t="str">
            <v>Dividendenrendite</v>
          </cell>
        </row>
      </sheetData>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CA972-5BC9-4AFE-ADE0-6D92F9863A22}">
  <sheetPr>
    <tabColor theme="5" tint="0.79998168889431442"/>
  </sheetPr>
  <dimension ref="B2:D93"/>
  <sheetViews>
    <sheetView zoomScale="66" zoomScaleNormal="66" workbookViewId="0">
      <selection activeCell="P35" sqref="P35"/>
    </sheetView>
  </sheetViews>
  <sheetFormatPr baseColWidth="10" defaultColWidth="11.3984375" defaultRowHeight="14.25" x14ac:dyDescent="0.45"/>
  <cols>
    <col min="1" max="1" width="5.73046875" style="155" customWidth="1"/>
    <col min="2" max="2" width="59.46484375" style="155" customWidth="1"/>
    <col min="3" max="3" width="21.06640625" style="155" customWidth="1"/>
    <col min="4" max="16384" width="11.3984375" style="155"/>
  </cols>
  <sheetData>
    <row r="2" spans="2:3" ht="15" x14ac:dyDescent="0.45">
      <c r="B2" s="154" t="s">
        <v>201</v>
      </c>
    </row>
    <row r="3" spans="2:3" ht="14.65" thickBot="1" x14ac:dyDescent="0.5">
      <c r="B3" s="156"/>
      <c r="C3" s="156"/>
    </row>
    <row r="4" spans="2:3" ht="33.75" customHeight="1" x14ac:dyDescent="0.45">
      <c r="B4" s="349" t="s">
        <v>202</v>
      </c>
      <c r="C4" s="350"/>
    </row>
    <row r="5" spans="2:3" x14ac:dyDescent="0.45">
      <c r="B5" s="253"/>
      <c r="C5" s="280">
        <v>0</v>
      </c>
    </row>
    <row r="6" spans="2:3" x14ac:dyDescent="0.45">
      <c r="B6" s="253"/>
      <c r="C6" s="255">
        <f t="shared" ref="C6:C33" si="0">C5+$C$35</f>
        <v>5</v>
      </c>
    </row>
    <row r="7" spans="2:3" x14ac:dyDescent="0.45">
      <c r="B7" s="253"/>
      <c r="C7" s="255">
        <f t="shared" si="0"/>
        <v>10</v>
      </c>
    </row>
    <row r="8" spans="2:3" x14ac:dyDescent="0.45">
      <c r="B8" s="253"/>
      <c r="C8" s="255">
        <f t="shared" si="0"/>
        <v>15</v>
      </c>
    </row>
    <row r="9" spans="2:3" x14ac:dyDescent="0.45">
      <c r="B9" s="253"/>
      <c r="C9" s="255">
        <f t="shared" si="0"/>
        <v>20</v>
      </c>
    </row>
    <row r="10" spans="2:3" x14ac:dyDescent="0.45">
      <c r="B10" s="253"/>
      <c r="C10" s="255">
        <f t="shared" si="0"/>
        <v>25</v>
      </c>
    </row>
    <row r="11" spans="2:3" x14ac:dyDescent="0.45">
      <c r="B11" s="253"/>
      <c r="C11" s="255">
        <f t="shared" si="0"/>
        <v>30</v>
      </c>
    </row>
    <row r="12" spans="2:3" x14ac:dyDescent="0.45">
      <c r="B12" s="253"/>
      <c r="C12" s="255">
        <f t="shared" si="0"/>
        <v>35</v>
      </c>
    </row>
    <row r="13" spans="2:3" x14ac:dyDescent="0.45">
      <c r="B13" s="253"/>
      <c r="C13" s="255">
        <f t="shared" si="0"/>
        <v>40</v>
      </c>
    </row>
    <row r="14" spans="2:3" x14ac:dyDescent="0.45">
      <c r="B14" s="253"/>
      <c r="C14" s="255">
        <f t="shared" si="0"/>
        <v>45</v>
      </c>
    </row>
    <row r="15" spans="2:3" x14ac:dyDescent="0.45">
      <c r="B15" s="253"/>
      <c r="C15" s="255">
        <f t="shared" si="0"/>
        <v>50</v>
      </c>
    </row>
    <row r="16" spans="2:3" x14ac:dyDescent="0.45">
      <c r="B16" s="253"/>
      <c r="C16" s="255">
        <f t="shared" si="0"/>
        <v>55</v>
      </c>
    </row>
    <row r="17" spans="2:3" x14ac:dyDescent="0.45">
      <c r="B17" s="253"/>
      <c r="C17" s="255">
        <f t="shared" si="0"/>
        <v>60</v>
      </c>
    </row>
    <row r="18" spans="2:3" x14ac:dyDescent="0.45">
      <c r="B18" s="253"/>
      <c r="C18" s="255">
        <f t="shared" si="0"/>
        <v>65</v>
      </c>
    </row>
    <row r="19" spans="2:3" x14ac:dyDescent="0.45">
      <c r="B19" s="253"/>
      <c r="C19" s="255">
        <f t="shared" si="0"/>
        <v>70</v>
      </c>
    </row>
    <row r="20" spans="2:3" x14ac:dyDescent="0.45">
      <c r="B20" s="253"/>
      <c r="C20" s="255">
        <f t="shared" si="0"/>
        <v>75</v>
      </c>
    </row>
    <row r="21" spans="2:3" x14ac:dyDescent="0.45">
      <c r="B21" s="253"/>
      <c r="C21" s="255">
        <f t="shared" si="0"/>
        <v>80</v>
      </c>
    </row>
    <row r="22" spans="2:3" x14ac:dyDescent="0.45">
      <c r="B22" s="253"/>
      <c r="C22" s="255">
        <f t="shared" si="0"/>
        <v>85</v>
      </c>
    </row>
    <row r="23" spans="2:3" x14ac:dyDescent="0.45">
      <c r="B23" s="253"/>
      <c r="C23" s="255">
        <f t="shared" si="0"/>
        <v>90</v>
      </c>
    </row>
    <row r="24" spans="2:3" x14ac:dyDescent="0.45">
      <c r="B24" s="253"/>
      <c r="C24" s="255">
        <f t="shared" si="0"/>
        <v>95</v>
      </c>
    </row>
    <row r="25" spans="2:3" x14ac:dyDescent="0.45">
      <c r="B25" s="253"/>
      <c r="C25" s="255">
        <f t="shared" si="0"/>
        <v>100</v>
      </c>
    </row>
    <row r="26" spans="2:3" x14ac:dyDescent="0.45">
      <c r="B26" s="253"/>
      <c r="C26" s="255">
        <f t="shared" si="0"/>
        <v>105</v>
      </c>
    </row>
    <row r="27" spans="2:3" x14ac:dyDescent="0.45">
      <c r="B27" s="253"/>
      <c r="C27" s="255">
        <f t="shared" si="0"/>
        <v>110</v>
      </c>
    </row>
    <row r="28" spans="2:3" x14ac:dyDescent="0.45">
      <c r="B28" s="253"/>
      <c r="C28" s="255">
        <f t="shared" si="0"/>
        <v>115</v>
      </c>
    </row>
    <row r="29" spans="2:3" x14ac:dyDescent="0.45">
      <c r="B29" s="253"/>
      <c r="C29" s="255">
        <f t="shared" si="0"/>
        <v>120</v>
      </c>
    </row>
    <row r="30" spans="2:3" x14ac:dyDescent="0.45">
      <c r="B30" s="253"/>
      <c r="C30" s="255">
        <f t="shared" si="0"/>
        <v>125</v>
      </c>
    </row>
    <row r="31" spans="2:3" x14ac:dyDescent="0.45">
      <c r="B31" s="253"/>
      <c r="C31" s="255">
        <f t="shared" si="0"/>
        <v>130</v>
      </c>
    </row>
    <row r="32" spans="2:3" x14ac:dyDescent="0.45">
      <c r="B32" s="253"/>
      <c r="C32" s="255">
        <f t="shared" si="0"/>
        <v>135</v>
      </c>
    </row>
    <row r="33" spans="2:3" ht="14.65" thickBot="1" x14ac:dyDescent="0.5">
      <c r="B33" s="256"/>
      <c r="C33" s="257">
        <f t="shared" si="0"/>
        <v>140</v>
      </c>
    </row>
    <row r="34" spans="2:3" ht="14.65" thickBot="1" x14ac:dyDescent="0.5">
      <c r="B34" s="254"/>
      <c r="C34" s="254"/>
    </row>
    <row r="35" spans="2:3" ht="14.65" thickBot="1" x14ac:dyDescent="0.5">
      <c r="B35" s="258" t="s">
        <v>189</v>
      </c>
      <c r="C35" s="259">
        <v>5</v>
      </c>
    </row>
    <row r="39" spans="2:3" ht="15" x14ac:dyDescent="0.45">
      <c r="B39" s="154" t="s">
        <v>200</v>
      </c>
    </row>
    <row r="41" spans="2:3" x14ac:dyDescent="0.45">
      <c r="B41" s="351" t="s">
        <v>0</v>
      </c>
      <c r="C41" s="352"/>
    </row>
    <row r="42" spans="2:3" x14ac:dyDescent="0.45">
      <c r="B42" s="274" t="s">
        <v>205</v>
      </c>
      <c r="C42" s="275">
        <v>70</v>
      </c>
    </row>
    <row r="43" spans="2:3" x14ac:dyDescent="0.45">
      <c r="B43" s="274" t="s">
        <v>197</v>
      </c>
      <c r="C43" s="275">
        <v>68</v>
      </c>
    </row>
    <row r="44" spans="2:3" x14ac:dyDescent="0.45">
      <c r="B44" s="274" t="s">
        <v>198</v>
      </c>
      <c r="C44" s="275">
        <v>70</v>
      </c>
    </row>
    <row r="45" spans="2:3" x14ac:dyDescent="0.45">
      <c r="B45" s="274" t="s">
        <v>199</v>
      </c>
      <c r="C45" s="275">
        <v>72</v>
      </c>
    </row>
    <row r="46" spans="2:3" x14ac:dyDescent="0.45">
      <c r="B46" s="274" t="s">
        <v>206</v>
      </c>
      <c r="C46" s="275">
        <v>74</v>
      </c>
    </row>
    <row r="47" spans="2:3" x14ac:dyDescent="0.45">
      <c r="B47" s="274" t="s">
        <v>207</v>
      </c>
      <c r="C47" s="275">
        <v>66</v>
      </c>
    </row>
    <row r="48" spans="2:3" x14ac:dyDescent="0.45">
      <c r="B48" s="274" t="s">
        <v>280</v>
      </c>
      <c r="C48" s="275">
        <v>5.46</v>
      </c>
    </row>
    <row r="49" spans="2:3" x14ac:dyDescent="0.45">
      <c r="B49" s="274" t="s">
        <v>281</v>
      </c>
      <c r="C49" s="275">
        <v>8.56</v>
      </c>
    </row>
    <row r="50" spans="2:3" x14ac:dyDescent="0.45">
      <c r="B50" s="274" t="str">
        <f>'[1]6'!B10</f>
        <v>Dividendenrendite</v>
      </c>
      <c r="C50" s="276">
        <v>4.8500000000000001E-2</v>
      </c>
    </row>
    <row r="51" spans="2:3" x14ac:dyDescent="0.45">
      <c r="B51" s="274" t="s">
        <v>187</v>
      </c>
      <c r="C51" s="275">
        <v>1</v>
      </c>
    </row>
    <row r="52" spans="2:3" x14ac:dyDescent="0.45">
      <c r="B52" s="274" t="s">
        <v>185</v>
      </c>
      <c r="C52" s="277">
        <v>0.3</v>
      </c>
    </row>
    <row r="53" spans="2:3" x14ac:dyDescent="0.45">
      <c r="B53" s="278" t="s">
        <v>186</v>
      </c>
      <c r="C53" s="279">
        <v>0.01</v>
      </c>
    </row>
    <row r="56" spans="2:3" ht="15" x14ac:dyDescent="0.45">
      <c r="B56" s="154" t="s">
        <v>203</v>
      </c>
    </row>
    <row r="57" spans="2:3" x14ac:dyDescent="0.45">
      <c r="B57" s="159"/>
      <c r="C57" s="159"/>
    </row>
    <row r="58" spans="2:3" x14ac:dyDescent="0.45">
      <c r="B58" s="353" t="s">
        <v>0</v>
      </c>
      <c r="C58" s="354"/>
    </row>
    <row r="59" spans="2:3" x14ac:dyDescent="0.45">
      <c r="B59" s="274" t="s">
        <v>32</v>
      </c>
      <c r="C59" s="289">
        <v>1</v>
      </c>
    </row>
    <row r="60" spans="2:3" x14ac:dyDescent="0.45">
      <c r="B60" s="274" t="s">
        <v>32</v>
      </c>
      <c r="C60" s="289">
        <v>2</v>
      </c>
    </row>
    <row r="61" spans="2:3" x14ac:dyDescent="0.45">
      <c r="B61" s="274" t="s">
        <v>31</v>
      </c>
      <c r="C61" s="289">
        <v>1</v>
      </c>
    </row>
    <row r="62" spans="2:3" x14ac:dyDescent="0.45">
      <c r="B62" s="274" t="s">
        <v>31</v>
      </c>
      <c r="C62" s="289">
        <v>2</v>
      </c>
    </row>
    <row r="63" spans="2:3" x14ac:dyDescent="0.45">
      <c r="B63" s="274" t="s">
        <v>204</v>
      </c>
      <c r="C63" s="289">
        <v>1</v>
      </c>
    </row>
    <row r="64" spans="2:3" x14ac:dyDescent="0.45">
      <c r="B64" s="278" t="s">
        <v>204</v>
      </c>
      <c r="C64" s="291">
        <v>2</v>
      </c>
    </row>
    <row r="65" spans="2:4" x14ac:dyDescent="0.45">
      <c r="C65" s="252"/>
    </row>
    <row r="66" spans="2:4" x14ac:dyDescent="0.45">
      <c r="B66" s="353" t="s">
        <v>249</v>
      </c>
      <c r="C66" s="354"/>
    </row>
    <row r="67" spans="2:4" x14ac:dyDescent="0.45">
      <c r="B67" s="274" t="s">
        <v>238</v>
      </c>
      <c r="C67" s="289">
        <v>122.52</v>
      </c>
    </row>
    <row r="68" spans="2:4" x14ac:dyDescent="0.45">
      <c r="B68" s="274" t="s">
        <v>243</v>
      </c>
      <c r="C68" s="289">
        <v>100</v>
      </c>
    </row>
    <row r="69" spans="2:4" x14ac:dyDescent="0.45">
      <c r="B69" s="274" t="s">
        <v>251</v>
      </c>
      <c r="C69" s="289">
        <v>8441.52</v>
      </c>
    </row>
    <row r="70" spans="2:4" x14ac:dyDescent="0.45">
      <c r="B70" s="278" t="s">
        <v>250</v>
      </c>
      <c r="C70" s="291">
        <v>82.23</v>
      </c>
    </row>
    <row r="71" spans="2:4" x14ac:dyDescent="0.45">
      <c r="B71" s="160"/>
      <c r="C71" s="161"/>
    </row>
    <row r="73" spans="2:4" x14ac:dyDescent="0.45">
      <c r="B73" s="355" t="s">
        <v>270</v>
      </c>
      <c r="C73" s="356"/>
      <c r="D73" s="356"/>
    </row>
    <row r="74" spans="2:4" x14ac:dyDescent="0.45">
      <c r="B74" s="286" t="s">
        <v>137</v>
      </c>
      <c r="C74" s="287">
        <v>0</v>
      </c>
      <c r="D74" s="288">
        <v>30</v>
      </c>
    </row>
    <row r="75" spans="2:4" x14ac:dyDescent="0.45">
      <c r="B75" s="274" t="s">
        <v>138</v>
      </c>
      <c r="C75" s="280">
        <v>30</v>
      </c>
      <c r="D75" s="289">
        <v>55</v>
      </c>
    </row>
    <row r="76" spans="2:4" x14ac:dyDescent="0.45">
      <c r="B76" s="274" t="s">
        <v>136</v>
      </c>
      <c r="C76" s="280">
        <v>55</v>
      </c>
      <c r="D76" s="289">
        <v>85</v>
      </c>
    </row>
    <row r="77" spans="2:4" x14ac:dyDescent="0.45">
      <c r="B77" s="274" t="s">
        <v>135</v>
      </c>
      <c r="C77" s="280">
        <v>85</v>
      </c>
      <c r="D77" s="289">
        <v>110</v>
      </c>
    </row>
    <row r="78" spans="2:4" x14ac:dyDescent="0.45">
      <c r="B78" s="278" t="s">
        <v>134</v>
      </c>
      <c r="C78" s="290">
        <v>110</v>
      </c>
      <c r="D78" s="291">
        <v>140</v>
      </c>
    </row>
    <row r="79" spans="2:4" ht="14.65" thickBot="1" x14ac:dyDescent="0.5"/>
    <row r="80" spans="2:4" x14ac:dyDescent="0.45">
      <c r="B80" s="347" t="s">
        <v>261</v>
      </c>
      <c r="C80" s="348"/>
    </row>
    <row r="81" spans="2:3" x14ac:dyDescent="0.45">
      <c r="B81" s="157" t="s">
        <v>258</v>
      </c>
      <c r="C81" s="336">
        <v>100</v>
      </c>
    </row>
    <row r="82" spans="2:3" ht="15.85" customHeight="1" x14ac:dyDescent="0.45">
      <c r="B82" s="157" t="s">
        <v>268</v>
      </c>
      <c r="C82" s="336"/>
    </row>
    <row r="83" spans="2:3" ht="15.85" customHeight="1" x14ac:dyDescent="0.45">
      <c r="B83" s="157" t="s">
        <v>269</v>
      </c>
      <c r="C83" s="336"/>
    </row>
    <row r="84" spans="2:3" ht="14.65" thickBot="1" x14ac:dyDescent="0.5">
      <c r="B84" s="337" t="s">
        <v>271</v>
      </c>
      <c r="C84" s="338"/>
    </row>
    <row r="85" spans="2:3" ht="14.65" thickBot="1" x14ac:dyDescent="0.5"/>
    <row r="86" spans="2:3" x14ac:dyDescent="0.45">
      <c r="B86" s="347" t="s">
        <v>248</v>
      </c>
      <c r="C86" s="348"/>
    </row>
    <row r="87" spans="2:3" x14ac:dyDescent="0.45">
      <c r="B87" s="286" t="s">
        <v>272</v>
      </c>
      <c r="C87" s="294"/>
    </row>
    <row r="88" spans="2:3" x14ac:dyDescent="0.45">
      <c r="B88" s="274" t="s">
        <v>223</v>
      </c>
      <c r="C88" s="292">
        <v>0</v>
      </c>
    </row>
    <row r="89" spans="2:3" x14ac:dyDescent="0.45">
      <c r="B89" s="274" t="s">
        <v>224</v>
      </c>
      <c r="C89" s="332">
        <v>-5.0000000000000001E-3</v>
      </c>
    </row>
    <row r="90" spans="2:3" x14ac:dyDescent="0.45">
      <c r="B90" s="274" t="s">
        <v>225</v>
      </c>
      <c r="C90" s="293">
        <v>2.5000000000000001E-3</v>
      </c>
    </row>
    <row r="91" spans="2:3" x14ac:dyDescent="0.45">
      <c r="B91" s="274" t="s">
        <v>273</v>
      </c>
      <c r="C91" s="289">
        <v>750000000000</v>
      </c>
    </row>
    <row r="92" spans="2:3" x14ac:dyDescent="0.45">
      <c r="B92" s="274" t="s">
        <v>227</v>
      </c>
      <c r="C92" s="292">
        <v>0</v>
      </c>
    </row>
    <row r="93" spans="2:3" x14ac:dyDescent="0.45">
      <c r="B93" s="278" t="s">
        <v>247</v>
      </c>
      <c r="C93" s="295">
        <v>0</v>
      </c>
    </row>
  </sheetData>
  <mergeCells count="7">
    <mergeCell ref="B86:C86"/>
    <mergeCell ref="B4:C4"/>
    <mergeCell ref="B80:C80"/>
    <mergeCell ref="B41:C41"/>
    <mergeCell ref="B58:C58"/>
    <mergeCell ref="B66:C66"/>
    <mergeCell ref="B73:D73"/>
  </mergeCells>
  <conditionalFormatting sqref="A73:A78 A58 B41 A66:A71 A80:A84 A4:A51 B5:B35 D74:XFD78 D80:XFD83 C84:XFD84 D1:XFD71 C71 A59:B64 A88:B93 D88:XFD93 A1:C3 A52:C57 A65:C65 C34 B35:C40 A79:XFD79 A72:XFD72 A85:XFD87 A94:XFD1048576 E73:XFD73 B42:C53">
    <cfRule type="containsBlanks" dxfId="554" priority="59">
      <formula>LEN(TRIM(A1))=0</formula>
    </cfRule>
  </conditionalFormatting>
  <conditionalFormatting sqref="C6:C33">
    <cfRule type="containsBlanks" dxfId="553" priority="50">
      <formula>LEN(TRIM(C6))=0</formula>
    </cfRule>
  </conditionalFormatting>
  <conditionalFormatting sqref="B66">
    <cfRule type="containsBlanks" dxfId="552" priority="45">
      <formula>LEN(TRIM(B66))=0</formula>
    </cfRule>
  </conditionalFormatting>
  <conditionalFormatting sqref="B71">
    <cfRule type="containsBlanks" dxfId="551" priority="44">
      <formula>LEN(TRIM(B71))=0</formula>
    </cfRule>
  </conditionalFormatting>
  <conditionalFormatting sqref="B86">
    <cfRule type="containsBlanks" dxfId="550" priority="36">
      <formula>LEN(TRIM(B86))=0</formula>
    </cfRule>
  </conditionalFormatting>
  <conditionalFormatting sqref="B73">
    <cfRule type="containsBlanks" dxfId="549" priority="29">
      <formula>LEN(TRIM(B73))=0</formula>
    </cfRule>
  </conditionalFormatting>
  <conditionalFormatting sqref="B67:B70">
    <cfRule type="containsBlanks" dxfId="548" priority="27">
      <formula>LEN(TRIM(B67))=0</formula>
    </cfRule>
  </conditionalFormatting>
  <conditionalFormatting sqref="B74:B78">
    <cfRule type="containsBlanks" dxfId="547" priority="25">
      <formula>LEN(TRIM(B74))=0</formula>
    </cfRule>
  </conditionalFormatting>
  <conditionalFormatting sqref="B58">
    <cfRule type="containsBlanks" dxfId="546" priority="28">
      <formula>LEN(TRIM(B58))=0</formula>
    </cfRule>
  </conditionalFormatting>
  <conditionalFormatting sqref="B87:B93">
    <cfRule type="containsBlanks" dxfId="545" priority="26">
      <formula>LEN(TRIM(B87))=0</formula>
    </cfRule>
  </conditionalFormatting>
  <conditionalFormatting sqref="B4">
    <cfRule type="containsBlanks" dxfId="544" priority="24">
      <formula>LEN(TRIM(B4))=0</formula>
    </cfRule>
  </conditionalFormatting>
  <conditionalFormatting sqref="B80">
    <cfRule type="containsBlanks" dxfId="543" priority="23">
      <formula>LEN(TRIM(B80))=0</formula>
    </cfRule>
  </conditionalFormatting>
  <conditionalFormatting sqref="C81:C83">
    <cfRule type="containsBlanks" dxfId="542" priority="20">
      <formula>LEN(TRIM(C81))=0</formula>
    </cfRule>
  </conditionalFormatting>
  <conditionalFormatting sqref="C5">
    <cfRule type="containsBlanks" dxfId="541" priority="7">
      <formula>LEN(TRIM(C5))=0</formula>
    </cfRule>
  </conditionalFormatting>
  <conditionalFormatting sqref="C74:D78">
    <cfRule type="containsBlanks" dxfId="540" priority="6">
      <formula>LEN(TRIM(C74))=0</formula>
    </cfRule>
  </conditionalFormatting>
  <conditionalFormatting sqref="C59:C64">
    <cfRule type="containsBlanks" dxfId="539" priority="5">
      <formula>LEN(TRIM(C59))=0</formula>
    </cfRule>
  </conditionalFormatting>
  <conditionalFormatting sqref="C67:C70">
    <cfRule type="containsBlanks" dxfId="538" priority="4">
      <formula>LEN(TRIM(C67))=0</formula>
    </cfRule>
  </conditionalFormatting>
  <conditionalFormatting sqref="C88:C93">
    <cfRule type="containsBlanks" dxfId="537" priority="3">
      <formula>LEN(TRIM(C88))=0</formula>
    </cfRule>
  </conditionalFormatting>
  <conditionalFormatting sqref="B81:B84">
    <cfRule type="containsBlanks" dxfId="536" priority="1">
      <formula>LEN(TRIM(B81))=0</formula>
    </cfRule>
  </conditionalFormatting>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B2:W50"/>
  <sheetViews>
    <sheetView topLeftCell="N1" zoomScale="71" zoomScaleNormal="71" workbookViewId="0">
      <selection activeCell="Z50" sqref="Z50"/>
    </sheetView>
  </sheetViews>
  <sheetFormatPr baseColWidth="10" defaultColWidth="9.1328125" defaultRowHeight="14.25" x14ac:dyDescent="0.45"/>
  <cols>
    <col min="2" max="2" width="23.3984375" bestFit="1" customWidth="1"/>
    <col min="15" max="15" width="25.9296875" bestFit="1" customWidth="1"/>
    <col min="18" max="18" width="25.9296875" bestFit="1" customWidth="1"/>
  </cols>
  <sheetData>
    <row r="2" spans="2:23" ht="15.4" x14ac:dyDescent="0.45">
      <c r="U2" s="1" t="s">
        <v>154</v>
      </c>
      <c r="V2" s="1"/>
    </row>
    <row r="3" spans="2:23" ht="15.75" x14ac:dyDescent="0.5">
      <c r="B3" s="112" t="s">
        <v>108</v>
      </c>
      <c r="O3" s="38" t="s">
        <v>141</v>
      </c>
      <c r="R3" s="1" t="s">
        <v>140</v>
      </c>
      <c r="U3" s="43" t="s">
        <v>148</v>
      </c>
      <c r="V3" s="43"/>
    </row>
    <row r="4" spans="2:23" ht="15.75" thickBot="1" x14ac:dyDescent="0.5">
      <c r="U4" s="1" t="s">
        <v>155</v>
      </c>
      <c r="V4" s="1"/>
    </row>
    <row r="5" spans="2:23" x14ac:dyDescent="0.45">
      <c r="B5" s="2" t="s">
        <v>0</v>
      </c>
      <c r="C5" s="7"/>
      <c r="O5" s="2" t="s">
        <v>0</v>
      </c>
      <c r="P5" s="7"/>
      <c r="R5" s="2" t="s">
        <v>0</v>
      </c>
      <c r="S5" s="7"/>
    </row>
    <row r="6" spans="2:23" x14ac:dyDescent="0.45">
      <c r="B6" s="126" t="s">
        <v>35</v>
      </c>
      <c r="C6" s="101">
        <f>Input!C61</f>
        <v>1</v>
      </c>
      <c r="O6" s="3"/>
      <c r="P6" s="8"/>
      <c r="R6" s="3"/>
      <c r="S6" s="8"/>
      <c r="U6" s="63"/>
      <c r="V6" s="63"/>
    </row>
    <row r="7" spans="2:23" x14ac:dyDescent="0.45">
      <c r="B7" s="126" t="s">
        <v>34</v>
      </c>
      <c r="C7" s="101">
        <f>'Ableitung Optionspreise'!C27</f>
        <v>7.6746297338894109</v>
      </c>
      <c r="O7" s="126" t="s">
        <v>30</v>
      </c>
      <c r="P7" s="101">
        <f>Input!C42</f>
        <v>70</v>
      </c>
      <c r="R7" s="126" t="s">
        <v>30</v>
      </c>
      <c r="S7" s="101">
        <f>Input!C42</f>
        <v>70</v>
      </c>
    </row>
    <row r="8" spans="2:23" x14ac:dyDescent="0.45">
      <c r="B8" s="126" t="s">
        <v>33</v>
      </c>
      <c r="C8" s="101">
        <f>Input!C43</f>
        <v>68</v>
      </c>
      <c r="O8" s="3"/>
      <c r="P8" s="8"/>
      <c r="R8" s="3"/>
      <c r="S8" s="8"/>
    </row>
    <row r="9" spans="2:23" x14ac:dyDescent="0.45">
      <c r="B9" s="126" t="s">
        <v>36</v>
      </c>
      <c r="C9" s="101">
        <f>Input!C61</f>
        <v>1</v>
      </c>
      <c r="O9" s="127" t="s">
        <v>2</v>
      </c>
      <c r="P9" s="101">
        <f>'Ableitung Optionspreise'!L27</f>
        <v>6.1273274075246036</v>
      </c>
      <c r="R9" s="127" t="s">
        <v>2</v>
      </c>
      <c r="S9" s="101">
        <f>'Ableitung Optionspreise'!C27</f>
        <v>7.6746297338894109</v>
      </c>
    </row>
    <row r="10" spans="2:23" ht="14.65" thickBot="1" x14ac:dyDescent="0.5">
      <c r="B10" s="127" t="s">
        <v>37</v>
      </c>
      <c r="C10" s="103">
        <f>'Ableitung Optionspreise'!L27</f>
        <v>6.1273274075246036</v>
      </c>
      <c r="O10" s="129" t="s">
        <v>145</v>
      </c>
      <c r="P10" s="111">
        <f>Input!C45</f>
        <v>72</v>
      </c>
      <c r="R10" s="129" t="s">
        <v>145</v>
      </c>
      <c r="S10" s="111">
        <f>Input!C43</f>
        <v>68</v>
      </c>
    </row>
    <row r="11" spans="2:23" ht="14.65" thickBot="1" x14ac:dyDescent="0.5">
      <c r="B11" s="129" t="s">
        <v>38</v>
      </c>
      <c r="C11" s="104">
        <f>Input!C45</f>
        <v>72</v>
      </c>
      <c r="O11" s="36"/>
      <c r="P11" s="36"/>
      <c r="Q11" s="43"/>
      <c r="R11" s="36"/>
      <c r="S11" s="36"/>
      <c r="T11" s="43"/>
      <c r="U11" s="43"/>
      <c r="V11" s="43"/>
      <c r="W11" s="43"/>
    </row>
    <row r="12" spans="2:23" x14ac:dyDescent="0.45">
      <c r="B12" s="36"/>
      <c r="C12" s="36"/>
      <c r="O12" s="43"/>
      <c r="P12" s="43"/>
      <c r="Q12" s="43"/>
      <c r="R12" s="43"/>
      <c r="S12" s="43"/>
      <c r="T12" s="43"/>
      <c r="U12" s="43"/>
      <c r="V12" s="43"/>
      <c r="W12" s="43"/>
    </row>
    <row r="13" spans="2:23" x14ac:dyDescent="0.45">
      <c r="B13" s="43"/>
      <c r="C13" s="43"/>
      <c r="O13" s="43"/>
      <c r="P13" s="43"/>
      <c r="Q13" s="43"/>
      <c r="R13" s="43"/>
      <c r="S13" s="43"/>
      <c r="T13" s="43"/>
      <c r="U13" s="43"/>
      <c r="V13" s="43"/>
      <c r="W13" s="43"/>
    </row>
    <row r="14" spans="2:23" x14ac:dyDescent="0.45">
      <c r="B14" s="43"/>
      <c r="C14" s="43"/>
      <c r="O14" s="43"/>
      <c r="P14" s="43"/>
      <c r="Q14" s="43"/>
      <c r="R14" s="43"/>
      <c r="S14" s="43"/>
      <c r="T14" s="43"/>
      <c r="U14" s="43"/>
      <c r="V14" s="43"/>
      <c r="W14" s="43"/>
    </row>
    <row r="15" spans="2:23" x14ac:dyDescent="0.45">
      <c r="B15" s="43"/>
      <c r="C15" s="43"/>
      <c r="O15" s="43"/>
      <c r="P15" s="43"/>
      <c r="Q15" s="43"/>
      <c r="R15" s="43"/>
      <c r="S15" s="43"/>
      <c r="T15" s="43"/>
      <c r="U15" s="43"/>
      <c r="V15" s="43"/>
      <c r="W15" s="43"/>
    </row>
    <row r="16" spans="2:23" x14ac:dyDescent="0.45">
      <c r="B16" s="43"/>
      <c r="C16" s="43"/>
      <c r="O16" s="43"/>
      <c r="P16" s="43"/>
      <c r="Q16" s="43"/>
      <c r="R16" s="43"/>
      <c r="S16" s="43"/>
      <c r="T16" s="43"/>
      <c r="U16" s="43"/>
      <c r="V16" s="43"/>
      <c r="W16" s="43"/>
    </row>
    <row r="17" spans="2:23" x14ac:dyDescent="0.45">
      <c r="B17" s="43"/>
      <c r="C17" s="43"/>
      <c r="O17" s="43"/>
      <c r="P17" s="43"/>
      <c r="Q17" s="43"/>
      <c r="R17" s="43"/>
      <c r="S17" s="43"/>
      <c r="T17" s="43"/>
      <c r="U17" s="43"/>
      <c r="V17" s="43"/>
      <c r="W17" s="43"/>
    </row>
    <row r="18" spans="2:23" ht="14.65" thickBot="1" x14ac:dyDescent="0.5">
      <c r="B18" s="43"/>
      <c r="C18" s="43"/>
      <c r="O18" s="43"/>
      <c r="P18" s="43"/>
      <c r="Q18" s="43"/>
      <c r="R18" s="43"/>
      <c r="S18" s="43"/>
      <c r="T18" s="43"/>
      <c r="U18" s="43"/>
      <c r="V18" s="43"/>
      <c r="W18" s="43"/>
    </row>
    <row r="19" spans="2:23" x14ac:dyDescent="0.45">
      <c r="B19" s="32" t="s">
        <v>4</v>
      </c>
      <c r="C19" s="33" t="s">
        <v>19</v>
      </c>
      <c r="O19" s="54" t="s">
        <v>4</v>
      </c>
      <c r="P19" s="55" t="s">
        <v>19</v>
      </c>
      <c r="R19" s="32" t="s">
        <v>4</v>
      </c>
      <c r="S19" s="33" t="s">
        <v>19</v>
      </c>
      <c r="U19" s="189" t="s">
        <v>146</v>
      </c>
      <c r="V19" s="339" t="s">
        <v>19</v>
      </c>
    </row>
    <row r="20" spans="2:23" x14ac:dyDescent="0.45">
      <c r="B20" s="106">
        <f>Input!C5</f>
        <v>0</v>
      </c>
      <c r="C20" s="34">
        <f t="shared" ref="C20:C48" si="0">SUM((IF(B20&gt;$C$8,B20-$C$8-$C$7,-$C$7)*$C$6),IF(B20&gt;$C$11,$C$11-B20+$C$10,$C$10))</f>
        <v>-1.5473023263648074</v>
      </c>
      <c r="O20" s="109">
        <f>Input!C5</f>
        <v>0</v>
      </c>
      <c r="P20" s="56">
        <f t="shared" ref="P20:P48" si="1">IF(O20&gt;$P$10,$P$10-$O20+$P$9,$P$9)</f>
        <v>6.1273274075246036</v>
      </c>
      <c r="R20" s="106">
        <f>Input!C5</f>
        <v>0</v>
      </c>
      <c r="S20" s="34">
        <f>IF(R20&gt;$S$10,R20-$S$10-$S$9,-$S$9)</f>
        <v>-7.6746297338894109</v>
      </c>
      <c r="U20" s="344">
        <f t="shared" ref="U20:U48" si="2">C20-V20</f>
        <v>0</v>
      </c>
      <c r="V20" s="34">
        <f>P20+S20</f>
        <v>-1.5473023263648074</v>
      </c>
    </row>
    <row r="21" spans="2:23" x14ac:dyDescent="0.45">
      <c r="B21" s="106">
        <f>Input!C6</f>
        <v>5</v>
      </c>
      <c r="C21" s="34">
        <f t="shared" si="0"/>
        <v>-1.5473023263648074</v>
      </c>
      <c r="O21" s="109">
        <f>Input!C6</f>
        <v>5</v>
      </c>
      <c r="P21" s="56">
        <f t="shared" si="1"/>
        <v>6.1273274075246036</v>
      </c>
      <c r="R21" s="106">
        <f>Input!C6</f>
        <v>5</v>
      </c>
      <c r="S21" s="34">
        <f t="shared" ref="S21:S48" si="3">IF(R21&gt;$S$10,R21-$S$10-$S$9,-$S$9)</f>
        <v>-7.6746297338894109</v>
      </c>
      <c r="U21" s="344">
        <f t="shared" si="2"/>
        <v>0</v>
      </c>
      <c r="V21" s="34">
        <f t="shared" ref="V21:V48" si="4">P21+S21</f>
        <v>-1.5473023263648074</v>
      </c>
    </row>
    <row r="22" spans="2:23" x14ac:dyDescent="0.45">
      <c r="B22" s="106">
        <f>Input!C7</f>
        <v>10</v>
      </c>
      <c r="C22" s="34">
        <f t="shared" si="0"/>
        <v>-1.5473023263648074</v>
      </c>
      <c r="O22" s="109">
        <f>Input!C7</f>
        <v>10</v>
      </c>
      <c r="P22" s="56">
        <f t="shared" si="1"/>
        <v>6.1273274075246036</v>
      </c>
      <c r="R22" s="106">
        <f>Input!C7</f>
        <v>10</v>
      </c>
      <c r="S22" s="34">
        <f t="shared" si="3"/>
        <v>-7.6746297338894109</v>
      </c>
      <c r="U22" s="344">
        <f t="shared" si="2"/>
        <v>0</v>
      </c>
      <c r="V22" s="34">
        <f t="shared" si="4"/>
        <v>-1.5473023263648074</v>
      </c>
    </row>
    <row r="23" spans="2:23" x14ac:dyDescent="0.45">
      <c r="B23" s="106">
        <f>Input!C8</f>
        <v>15</v>
      </c>
      <c r="C23" s="34">
        <f t="shared" si="0"/>
        <v>-1.5473023263648074</v>
      </c>
      <c r="O23" s="109">
        <f>Input!C8</f>
        <v>15</v>
      </c>
      <c r="P23" s="56">
        <f t="shared" si="1"/>
        <v>6.1273274075246036</v>
      </c>
      <c r="R23" s="106">
        <f>Input!C8</f>
        <v>15</v>
      </c>
      <c r="S23" s="34">
        <f t="shared" si="3"/>
        <v>-7.6746297338894109</v>
      </c>
      <c r="U23" s="344">
        <f t="shared" si="2"/>
        <v>0</v>
      </c>
      <c r="V23" s="34">
        <f t="shared" si="4"/>
        <v>-1.5473023263648074</v>
      </c>
    </row>
    <row r="24" spans="2:23" x14ac:dyDescent="0.45">
      <c r="B24" s="106">
        <f>Input!C9</f>
        <v>20</v>
      </c>
      <c r="C24" s="34">
        <f t="shared" si="0"/>
        <v>-1.5473023263648074</v>
      </c>
      <c r="O24" s="109">
        <f>Input!C9</f>
        <v>20</v>
      </c>
      <c r="P24" s="56">
        <f t="shared" si="1"/>
        <v>6.1273274075246036</v>
      </c>
      <c r="R24" s="106">
        <f>Input!C9</f>
        <v>20</v>
      </c>
      <c r="S24" s="34">
        <f t="shared" si="3"/>
        <v>-7.6746297338894109</v>
      </c>
      <c r="U24" s="344">
        <f t="shared" si="2"/>
        <v>0</v>
      </c>
      <c r="V24" s="34">
        <f t="shared" si="4"/>
        <v>-1.5473023263648074</v>
      </c>
    </row>
    <row r="25" spans="2:23" x14ac:dyDescent="0.45">
      <c r="B25" s="106">
        <f>Input!C10</f>
        <v>25</v>
      </c>
      <c r="C25" s="34">
        <f t="shared" si="0"/>
        <v>-1.5473023263648074</v>
      </c>
      <c r="O25" s="109">
        <f>Input!C10</f>
        <v>25</v>
      </c>
      <c r="P25" s="56">
        <f t="shared" si="1"/>
        <v>6.1273274075246036</v>
      </c>
      <c r="R25" s="106">
        <f>Input!C10</f>
        <v>25</v>
      </c>
      <c r="S25" s="34">
        <f t="shared" si="3"/>
        <v>-7.6746297338894109</v>
      </c>
      <c r="U25" s="344">
        <f t="shared" si="2"/>
        <v>0</v>
      </c>
      <c r="V25" s="34">
        <f t="shared" si="4"/>
        <v>-1.5473023263648074</v>
      </c>
    </row>
    <row r="26" spans="2:23" x14ac:dyDescent="0.45">
      <c r="B26" s="106">
        <f>Input!C11</f>
        <v>30</v>
      </c>
      <c r="C26" s="34">
        <f t="shared" si="0"/>
        <v>-1.5473023263648074</v>
      </c>
      <c r="O26" s="109">
        <f>Input!C11</f>
        <v>30</v>
      </c>
      <c r="P26" s="56">
        <f t="shared" si="1"/>
        <v>6.1273274075246036</v>
      </c>
      <c r="R26" s="106">
        <f>Input!C11</f>
        <v>30</v>
      </c>
      <c r="S26" s="34">
        <f t="shared" si="3"/>
        <v>-7.6746297338894109</v>
      </c>
      <c r="U26" s="344">
        <f t="shared" si="2"/>
        <v>0</v>
      </c>
      <c r="V26" s="34">
        <f t="shared" si="4"/>
        <v>-1.5473023263648074</v>
      </c>
    </row>
    <row r="27" spans="2:23" x14ac:dyDescent="0.45">
      <c r="B27" s="106">
        <f>Input!C12</f>
        <v>35</v>
      </c>
      <c r="C27" s="34">
        <f t="shared" si="0"/>
        <v>-1.5473023263648074</v>
      </c>
      <c r="O27" s="109">
        <f>Input!C12</f>
        <v>35</v>
      </c>
      <c r="P27" s="56">
        <f t="shared" si="1"/>
        <v>6.1273274075246036</v>
      </c>
      <c r="R27" s="106">
        <f>Input!C12</f>
        <v>35</v>
      </c>
      <c r="S27" s="34">
        <f t="shared" si="3"/>
        <v>-7.6746297338894109</v>
      </c>
      <c r="U27" s="344">
        <f t="shared" si="2"/>
        <v>0</v>
      </c>
      <c r="V27" s="34">
        <f t="shared" si="4"/>
        <v>-1.5473023263648074</v>
      </c>
    </row>
    <row r="28" spans="2:23" x14ac:dyDescent="0.45">
      <c r="B28" s="106">
        <f>Input!C13</f>
        <v>40</v>
      </c>
      <c r="C28" s="34">
        <f t="shared" si="0"/>
        <v>-1.5473023263648074</v>
      </c>
      <c r="O28" s="109">
        <f>Input!C13</f>
        <v>40</v>
      </c>
      <c r="P28" s="56">
        <f t="shared" si="1"/>
        <v>6.1273274075246036</v>
      </c>
      <c r="R28" s="106">
        <f>Input!C13</f>
        <v>40</v>
      </c>
      <c r="S28" s="34">
        <f t="shared" si="3"/>
        <v>-7.6746297338894109</v>
      </c>
      <c r="U28" s="344">
        <f t="shared" si="2"/>
        <v>0</v>
      </c>
      <c r="V28" s="34">
        <f t="shared" si="4"/>
        <v>-1.5473023263648074</v>
      </c>
    </row>
    <row r="29" spans="2:23" x14ac:dyDescent="0.45">
      <c r="B29" s="106">
        <f>Input!C14</f>
        <v>45</v>
      </c>
      <c r="C29" s="34">
        <f t="shared" si="0"/>
        <v>-1.5473023263648074</v>
      </c>
      <c r="O29" s="109">
        <f>Input!C14</f>
        <v>45</v>
      </c>
      <c r="P29" s="56">
        <f t="shared" si="1"/>
        <v>6.1273274075246036</v>
      </c>
      <c r="R29" s="106">
        <f>Input!C14</f>
        <v>45</v>
      </c>
      <c r="S29" s="34">
        <f t="shared" si="3"/>
        <v>-7.6746297338894109</v>
      </c>
      <c r="U29" s="344">
        <f t="shared" si="2"/>
        <v>0</v>
      </c>
      <c r="V29" s="34">
        <f t="shared" si="4"/>
        <v>-1.5473023263648074</v>
      </c>
    </row>
    <row r="30" spans="2:23" x14ac:dyDescent="0.45">
      <c r="B30" s="106">
        <f>Input!C15</f>
        <v>50</v>
      </c>
      <c r="C30" s="34">
        <f t="shared" si="0"/>
        <v>-1.5473023263648074</v>
      </c>
      <c r="O30" s="109">
        <f>Input!C15</f>
        <v>50</v>
      </c>
      <c r="P30" s="56">
        <f t="shared" si="1"/>
        <v>6.1273274075246036</v>
      </c>
      <c r="R30" s="106">
        <f>Input!C15</f>
        <v>50</v>
      </c>
      <c r="S30" s="34">
        <f t="shared" si="3"/>
        <v>-7.6746297338894109</v>
      </c>
      <c r="U30" s="344">
        <f t="shared" si="2"/>
        <v>0</v>
      </c>
      <c r="V30" s="34">
        <f t="shared" si="4"/>
        <v>-1.5473023263648074</v>
      </c>
    </row>
    <row r="31" spans="2:23" x14ac:dyDescent="0.45">
      <c r="B31" s="106">
        <f>Input!C16</f>
        <v>55</v>
      </c>
      <c r="C31" s="34">
        <f t="shared" si="0"/>
        <v>-1.5473023263648074</v>
      </c>
      <c r="O31" s="109">
        <f>Input!C16</f>
        <v>55</v>
      </c>
      <c r="P31" s="56">
        <f t="shared" si="1"/>
        <v>6.1273274075246036</v>
      </c>
      <c r="R31" s="106">
        <f>Input!C16</f>
        <v>55</v>
      </c>
      <c r="S31" s="34">
        <f t="shared" si="3"/>
        <v>-7.6746297338894109</v>
      </c>
      <c r="U31" s="344">
        <f t="shared" si="2"/>
        <v>0</v>
      </c>
      <c r="V31" s="34">
        <f t="shared" si="4"/>
        <v>-1.5473023263648074</v>
      </c>
    </row>
    <row r="32" spans="2:23" x14ac:dyDescent="0.45">
      <c r="B32" s="106">
        <f>Input!C17</f>
        <v>60</v>
      </c>
      <c r="C32" s="34">
        <f t="shared" si="0"/>
        <v>-1.5473023263648074</v>
      </c>
      <c r="O32" s="109">
        <f>Input!C17</f>
        <v>60</v>
      </c>
      <c r="P32" s="56">
        <f t="shared" si="1"/>
        <v>6.1273274075246036</v>
      </c>
      <c r="R32" s="106">
        <f>Input!C17</f>
        <v>60</v>
      </c>
      <c r="S32" s="34">
        <f t="shared" si="3"/>
        <v>-7.6746297338894109</v>
      </c>
      <c r="U32" s="344">
        <f t="shared" si="2"/>
        <v>0</v>
      </c>
      <c r="V32" s="34">
        <f t="shared" si="4"/>
        <v>-1.5473023263648074</v>
      </c>
    </row>
    <row r="33" spans="2:22" x14ac:dyDescent="0.45">
      <c r="B33" s="106">
        <f>Input!C18</f>
        <v>65</v>
      </c>
      <c r="C33" s="34">
        <f t="shared" si="0"/>
        <v>-1.5473023263648074</v>
      </c>
      <c r="O33" s="109">
        <f>Input!C18</f>
        <v>65</v>
      </c>
      <c r="P33" s="56">
        <f t="shared" si="1"/>
        <v>6.1273274075246036</v>
      </c>
      <c r="R33" s="106">
        <f>Input!C18</f>
        <v>65</v>
      </c>
      <c r="S33" s="34">
        <f t="shared" si="3"/>
        <v>-7.6746297338894109</v>
      </c>
      <c r="U33" s="344">
        <f t="shared" si="2"/>
        <v>0</v>
      </c>
      <c r="V33" s="34">
        <f t="shared" si="4"/>
        <v>-1.5473023263648074</v>
      </c>
    </row>
    <row r="34" spans="2:22" x14ac:dyDescent="0.45">
      <c r="B34" s="106">
        <f>Input!C19</f>
        <v>70</v>
      </c>
      <c r="C34" s="34">
        <f t="shared" si="0"/>
        <v>0.45269767363519264</v>
      </c>
      <c r="O34" s="109">
        <f>Input!C19</f>
        <v>70</v>
      </c>
      <c r="P34" s="56">
        <f t="shared" si="1"/>
        <v>6.1273274075246036</v>
      </c>
      <c r="R34" s="106">
        <f>Input!C19</f>
        <v>70</v>
      </c>
      <c r="S34" s="34">
        <f t="shared" si="3"/>
        <v>-5.6746297338894109</v>
      </c>
      <c r="U34" s="344">
        <f t="shared" si="2"/>
        <v>0</v>
      </c>
      <c r="V34" s="34">
        <f t="shared" si="4"/>
        <v>0.45269767363519264</v>
      </c>
    </row>
    <row r="35" spans="2:22" x14ac:dyDescent="0.45">
      <c r="B35" s="106">
        <f>Input!C20</f>
        <v>75</v>
      </c>
      <c r="C35" s="34">
        <f t="shared" si="0"/>
        <v>2.4526976736351926</v>
      </c>
      <c r="O35" s="109">
        <f>Input!C20</f>
        <v>75</v>
      </c>
      <c r="P35" s="56">
        <f t="shared" si="1"/>
        <v>3.1273274075246036</v>
      </c>
      <c r="R35" s="106">
        <f>Input!C20</f>
        <v>75</v>
      </c>
      <c r="S35" s="34">
        <f t="shared" si="3"/>
        <v>-0.67462973388941094</v>
      </c>
      <c r="U35" s="344">
        <f t="shared" si="2"/>
        <v>0</v>
      </c>
      <c r="V35" s="34">
        <f t="shared" si="4"/>
        <v>2.4526976736351926</v>
      </c>
    </row>
    <row r="36" spans="2:22" x14ac:dyDescent="0.45">
      <c r="B36" s="106">
        <f>Input!C21</f>
        <v>80</v>
      </c>
      <c r="C36" s="34">
        <f t="shared" si="0"/>
        <v>2.4526976736351926</v>
      </c>
      <c r="O36" s="109">
        <f>Input!C21</f>
        <v>80</v>
      </c>
      <c r="P36" s="56">
        <f t="shared" si="1"/>
        <v>-1.8726725924753964</v>
      </c>
      <c r="R36" s="106">
        <f>Input!C21</f>
        <v>80</v>
      </c>
      <c r="S36" s="34">
        <f t="shared" si="3"/>
        <v>4.3253702661105891</v>
      </c>
      <c r="U36" s="344">
        <f t="shared" si="2"/>
        <v>0</v>
      </c>
      <c r="V36" s="34">
        <f t="shared" si="4"/>
        <v>2.4526976736351926</v>
      </c>
    </row>
    <row r="37" spans="2:22" x14ac:dyDescent="0.45">
      <c r="B37" s="106">
        <f>Input!C22</f>
        <v>85</v>
      </c>
      <c r="C37" s="34">
        <f t="shared" si="0"/>
        <v>2.4526976736351926</v>
      </c>
      <c r="O37" s="109">
        <f>Input!C22</f>
        <v>85</v>
      </c>
      <c r="P37" s="56">
        <f t="shared" si="1"/>
        <v>-6.8726725924753964</v>
      </c>
      <c r="R37" s="106">
        <f>Input!C22</f>
        <v>85</v>
      </c>
      <c r="S37" s="34">
        <f t="shared" si="3"/>
        <v>9.3253702661105891</v>
      </c>
      <c r="U37" s="344">
        <f t="shared" si="2"/>
        <v>0</v>
      </c>
      <c r="V37" s="34">
        <f t="shared" si="4"/>
        <v>2.4526976736351926</v>
      </c>
    </row>
    <row r="38" spans="2:22" x14ac:dyDescent="0.45">
      <c r="B38" s="106">
        <f>Input!C23</f>
        <v>90</v>
      </c>
      <c r="C38" s="34">
        <f t="shared" si="0"/>
        <v>2.4526976736351926</v>
      </c>
      <c r="O38" s="109">
        <f>Input!C23</f>
        <v>90</v>
      </c>
      <c r="P38" s="56">
        <f t="shared" si="1"/>
        <v>-11.872672592475396</v>
      </c>
      <c r="R38" s="106">
        <f>Input!C23</f>
        <v>90</v>
      </c>
      <c r="S38" s="34">
        <f t="shared" si="3"/>
        <v>14.325370266110589</v>
      </c>
      <c r="U38" s="344">
        <f t="shared" si="2"/>
        <v>0</v>
      </c>
      <c r="V38" s="34">
        <f t="shared" si="4"/>
        <v>2.4526976736351926</v>
      </c>
    </row>
    <row r="39" spans="2:22" x14ac:dyDescent="0.45">
      <c r="B39" s="106">
        <f>Input!C24</f>
        <v>95</v>
      </c>
      <c r="C39" s="34">
        <f t="shared" si="0"/>
        <v>2.4526976736351926</v>
      </c>
      <c r="O39" s="109">
        <f>Input!C24</f>
        <v>95</v>
      </c>
      <c r="P39" s="56">
        <f t="shared" si="1"/>
        <v>-16.872672592475396</v>
      </c>
      <c r="R39" s="106">
        <f>Input!C24</f>
        <v>95</v>
      </c>
      <c r="S39" s="34">
        <f t="shared" si="3"/>
        <v>19.325370266110589</v>
      </c>
      <c r="U39" s="344">
        <f t="shared" si="2"/>
        <v>0</v>
      </c>
      <c r="V39" s="34">
        <f t="shared" si="4"/>
        <v>2.4526976736351926</v>
      </c>
    </row>
    <row r="40" spans="2:22" x14ac:dyDescent="0.45">
      <c r="B40" s="106">
        <f>Input!C25</f>
        <v>100</v>
      </c>
      <c r="C40" s="34">
        <f t="shared" si="0"/>
        <v>2.4526976736351926</v>
      </c>
      <c r="O40" s="109">
        <f>Input!C25</f>
        <v>100</v>
      </c>
      <c r="P40" s="56">
        <f t="shared" si="1"/>
        <v>-21.872672592475396</v>
      </c>
      <c r="R40" s="106">
        <f>Input!C25</f>
        <v>100</v>
      </c>
      <c r="S40" s="34">
        <f t="shared" si="3"/>
        <v>24.325370266110589</v>
      </c>
      <c r="U40" s="344">
        <f t="shared" si="2"/>
        <v>0</v>
      </c>
      <c r="V40" s="34">
        <f t="shared" si="4"/>
        <v>2.4526976736351926</v>
      </c>
    </row>
    <row r="41" spans="2:22" x14ac:dyDescent="0.45">
      <c r="B41" s="106">
        <f>Input!C26</f>
        <v>105</v>
      </c>
      <c r="C41" s="34">
        <f t="shared" si="0"/>
        <v>2.4526976736351926</v>
      </c>
      <c r="O41" s="109">
        <f>Input!C26</f>
        <v>105</v>
      </c>
      <c r="P41" s="56">
        <f t="shared" si="1"/>
        <v>-26.872672592475396</v>
      </c>
      <c r="R41" s="106">
        <f>Input!C26</f>
        <v>105</v>
      </c>
      <c r="S41" s="34">
        <f t="shared" si="3"/>
        <v>29.325370266110589</v>
      </c>
      <c r="U41" s="344">
        <f t="shared" si="2"/>
        <v>0</v>
      </c>
      <c r="V41" s="34">
        <f t="shared" si="4"/>
        <v>2.4526976736351926</v>
      </c>
    </row>
    <row r="42" spans="2:22" x14ac:dyDescent="0.45">
      <c r="B42" s="106">
        <f>Input!C27</f>
        <v>110</v>
      </c>
      <c r="C42" s="34">
        <f t="shared" si="0"/>
        <v>2.4526976736351926</v>
      </c>
      <c r="O42" s="109">
        <f>Input!C27</f>
        <v>110</v>
      </c>
      <c r="P42" s="56">
        <f t="shared" si="1"/>
        <v>-31.872672592475396</v>
      </c>
      <c r="R42" s="106">
        <f>Input!C27</f>
        <v>110</v>
      </c>
      <c r="S42" s="34">
        <f t="shared" si="3"/>
        <v>34.325370266110589</v>
      </c>
      <c r="U42" s="344">
        <f t="shared" si="2"/>
        <v>0</v>
      </c>
      <c r="V42" s="34">
        <f t="shared" si="4"/>
        <v>2.4526976736351926</v>
      </c>
    </row>
    <row r="43" spans="2:22" x14ac:dyDescent="0.45">
      <c r="B43" s="106">
        <f>Input!C28</f>
        <v>115</v>
      </c>
      <c r="C43" s="34">
        <f t="shared" si="0"/>
        <v>2.4526976736351926</v>
      </c>
      <c r="O43" s="109">
        <f>Input!C28</f>
        <v>115</v>
      </c>
      <c r="P43" s="56">
        <f t="shared" si="1"/>
        <v>-36.872672592475396</v>
      </c>
      <c r="R43" s="106">
        <f>Input!C28</f>
        <v>115</v>
      </c>
      <c r="S43" s="34">
        <f t="shared" si="3"/>
        <v>39.325370266110589</v>
      </c>
      <c r="U43" s="344">
        <f t="shared" si="2"/>
        <v>0</v>
      </c>
      <c r="V43" s="34">
        <f t="shared" si="4"/>
        <v>2.4526976736351926</v>
      </c>
    </row>
    <row r="44" spans="2:22" x14ac:dyDescent="0.45">
      <c r="B44" s="106">
        <f>Input!C29</f>
        <v>120</v>
      </c>
      <c r="C44" s="34">
        <f t="shared" si="0"/>
        <v>2.4526976736351926</v>
      </c>
      <c r="O44" s="109">
        <f>Input!C29</f>
        <v>120</v>
      </c>
      <c r="P44" s="56">
        <f t="shared" si="1"/>
        <v>-41.872672592475396</v>
      </c>
      <c r="R44" s="106">
        <f>Input!C29</f>
        <v>120</v>
      </c>
      <c r="S44" s="34">
        <f t="shared" si="3"/>
        <v>44.325370266110589</v>
      </c>
      <c r="U44" s="344">
        <f t="shared" si="2"/>
        <v>0</v>
      </c>
      <c r="V44" s="34">
        <f t="shared" si="4"/>
        <v>2.4526976736351926</v>
      </c>
    </row>
    <row r="45" spans="2:22" x14ac:dyDescent="0.45">
      <c r="B45" s="106">
        <f>Input!C30</f>
        <v>125</v>
      </c>
      <c r="C45" s="34">
        <f t="shared" si="0"/>
        <v>2.4526976736351926</v>
      </c>
      <c r="O45" s="109">
        <f>Input!C30</f>
        <v>125</v>
      </c>
      <c r="P45" s="56">
        <f t="shared" si="1"/>
        <v>-46.872672592475396</v>
      </c>
      <c r="R45" s="106">
        <f>Input!C30</f>
        <v>125</v>
      </c>
      <c r="S45" s="34">
        <f t="shared" si="3"/>
        <v>49.325370266110589</v>
      </c>
      <c r="U45" s="344">
        <f t="shared" si="2"/>
        <v>0</v>
      </c>
      <c r="V45" s="34">
        <f t="shared" si="4"/>
        <v>2.4526976736351926</v>
      </c>
    </row>
    <row r="46" spans="2:22" x14ac:dyDescent="0.45">
      <c r="B46" s="106">
        <f>Input!C31</f>
        <v>130</v>
      </c>
      <c r="C46" s="34">
        <f t="shared" si="0"/>
        <v>2.4526976736351926</v>
      </c>
      <c r="O46" s="109">
        <f>Input!C31</f>
        <v>130</v>
      </c>
      <c r="P46" s="56">
        <f t="shared" si="1"/>
        <v>-51.872672592475396</v>
      </c>
      <c r="R46" s="106">
        <f>Input!C31</f>
        <v>130</v>
      </c>
      <c r="S46" s="34">
        <f t="shared" si="3"/>
        <v>54.325370266110589</v>
      </c>
      <c r="U46" s="344">
        <f t="shared" si="2"/>
        <v>0</v>
      </c>
      <c r="V46" s="34">
        <f t="shared" si="4"/>
        <v>2.4526976736351926</v>
      </c>
    </row>
    <row r="47" spans="2:22" x14ac:dyDescent="0.45">
      <c r="B47" s="106">
        <f>Input!C32</f>
        <v>135</v>
      </c>
      <c r="C47" s="34">
        <f t="shared" si="0"/>
        <v>2.4526976736351926</v>
      </c>
      <c r="O47" s="109">
        <f>Input!C32</f>
        <v>135</v>
      </c>
      <c r="P47" s="56">
        <f t="shared" si="1"/>
        <v>-56.872672592475396</v>
      </c>
      <c r="R47" s="106">
        <f>Input!C32</f>
        <v>135</v>
      </c>
      <c r="S47" s="34">
        <f t="shared" si="3"/>
        <v>59.325370266110589</v>
      </c>
      <c r="U47" s="344">
        <f t="shared" si="2"/>
        <v>0</v>
      </c>
      <c r="V47" s="34">
        <f t="shared" si="4"/>
        <v>2.4526976736351926</v>
      </c>
    </row>
    <row r="48" spans="2:22" ht="14.65" thickBot="1" x14ac:dyDescent="0.5">
      <c r="B48" s="108">
        <f>Input!C33</f>
        <v>140</v>
      </c>
      <c r="C48" s="35">
        <f t="shared" si="0"/>
        <v>2.4526976736351855</v>
      </c>
      <c r="O48" s="110">
        <f t="shared" ref="O48" si="5">O47+5</f>
        <v>140</v>
      </c>
      <c r="P48" s="57">
        <f t="shared" si="1"/>
        <v>-61.872672592475396</v>
      </c>
      <c r="R48" s="108">
        <f>Input!C33</f>
        <v>140</v>
      </c>
      <c r="S48" s="35">
        <f t="shared" si="3"/>
        <v>64.325370266110582</v>
      </c>
      <c r="U48" s="345">
        <f t="shared" si="2"/>
        <v>0</v>
      </c>
      <c r="V48" s="35">
        <f t="shared" si="4"/>
        <v>2.4526976736351855</v>
      </c>
    </row>
    <row r="50" spans="2:3" ht="21.4" customHeight="1" x14ac:dyDescent="0.45">
      <c r="B50" s="296" t="s">
        <v>262</v>
      </c>
      <c r="C50" s="297">
        <f>-C7+C10</f>
        <v>-1.5473023263648074</v>
      </c>
    </row>
  </sheetData>
  <conditionalFormatting sqref="A5:B5 D5:N5 A1:XFD1 A3:Q4 A2:T2 W2:XFD41 A6:N12 A13:A41 D13:N41 Q5:Q11 T3:T11 A49:XFD49 B19:C48 O19:T48 A42:T48 V42:XFD48 O6:P11 R6:S11 A51:XFD1048576 A50 D50:XFD50">
    <cfRule type="containsBlanks" dxfId="406" priority="16">
      <formula>LEN(TRIM(A1))=0</formula>
    </cfRule>
  </conditionalFormatting>
  <conditionalFormatting sqref="O5">
    <cfRule type="containsBlanks" dxfId="405" priority="15">
      <formula>LEN(TRIM(O5))=0</formula>
    </cfRule>
  </conditionalFormatting>
  <conditionalFormatting sqref="S3 R4:S4">
    <cfRule type="containsBlanks" dxfId="404" priority="14">
      <formula>LEN(TRIM(R3))=0</formula>
    </cfRule>
  </conditionalFormatting>
  <conditionalFormatting sqref="R5">
    <cfRule type="containsBlanks" dxfId="403" priority="13">
      <formula>LEN(TRIM(R5))=0</formula>
    </cfRule>
  </conditionalFormatting>
  <conditionalFormatting sqref="R3">
    <cfRule type="containsBlanks" dxfId="402" priority="12">
      <formula>LEN(TRIM(R3))=0</formula>
    </cfRule>
  </conditionalFormatting>
  <conditionalFormatting sqref="U4:V4">
    <cfRule type="containsBlanks" dxfId="401" priority="6">
      <formula>LEN(TRIM(U4))=0</formula>
    </cfRule>
  </conditionalFormatting>
  <conditionalFormatting sqref="U6:V11 U2:V3 V19:V48">
    <cfRule type="containsBlanks" dxfId="400" priority="11">
      <formula>LEN(TRIM(U2))=0</formula>
    </cfRule>
  </conditionalFormatting>
  <conditionalFormatting sqref="V19">
    <cfRule type="containsBlanks" dxfId="399" priority="10">
      <formula>LEN(TRIM(V19))=0</formula>
    </cfRule>
  </conditionalFormatting>
  <conditionalFormatting sqref="U19">
    <cfRule type="containsBlanks" dxfId="398" priority="9">
      <formula>LEN(TRIM(U19))=0</formula>
    </cfRule>
  </conditionalFormatting>
  <conditionalFormatting sqref="V20:V48">
    <cfRule type="containsBlanks" dxfId="397" priority="8">
      <formula>LEN(TRIM(V20))=0</formula>
    </cfRule>
  </conditionalFormatting>
  <conditionalFormatting sqref="U5:V5">
    <cfRule type="containsBlanks" dxfId="396" priority="7">
      <formula>LEN(TRIM(U5))=0</formula>
    </cfRule>
  </conditionalFormatting>
  <conditionalFormatting sqref="U20:U48">
    <cfRule type="containsBlanks" dxfId="395" priority="5">
      <formula>LEN(TRIM(U20))=0</formula>
    </cfRule>
  </conditionalFormatting>
  <conditionalFormatting sqref="B50">
    <cfRule type="containsBlanks" dxfId="394" priority="2">
      <formula>LEN(TRIM(B50))=0</formula>
    </cfRule>
  </conditionalFormatting>
  <conditionalFormatting sqref="C50">
    <cfRule type="containsBlanks" dxfId="393" priority="1">
      <formula>LEN(TRIM(C50))=0</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B2:W50"/>
  <sheetViews>
    <sheetView zoomScale="73" zoomScaleNormal="73" workbookViewId="0">
      <selection activeCell="G50" sqref="G50"/>
    </sheetView>
  </sheetViews>
  <sheetFormatPr baseColWidth="10" defaultColWidth="9.1328125" defaultRowHeight="14.25" x14ac:dyDescent="0.45"/>
  <cols>
    <col min="2" max="2" width="23.3984375" bestFit="1" customWidth="1"/>
    <col min="15" max="15" width="25.9296875" bestFit="1" customWidth="1"/>
    <col min="18" max="18" width="25.9296875" bestFit="1" customWidth="1"/>
  </cols>
  <sheetData>
    <row r="2" spans="2:23" ht="15.4" x14ac:dyDescent="0.45">
      <c r="O2" s="1"/>
      <c r="U2" s="43"/>
      <c r="V2" s="64"/>
      <c r="W2" s="43"/>
    </row>
    <row r="3" spans="2:23" ht="15.75" x14ac:dyDescent="0.5">
      <c r="B3" s="112" t="s">
        <v>109</v>
      </c>
      <c r="O3" s="1" t="s">
        <v>142</v>
      </c>
      <c r="R3" s="1" t="s">
        <v>21</v>
      </c>
      <c r="U3" s="64" t="s">
        <v>109</v>
      </c>
      <c r="V3" s="43"/>
      <c r="W3" s="43"/>
    </row>
    <row r="4" spans="2:23" ht="15.75" thickBot="1" x14ac:dyDescent="0.5">
      <c r="U4" s="43" t="s">
        <v>148</v>
      </c>
      <c r="V4" s="64"/>
      <c r="W4" s="43"/>
    </row>
    <row r="5" spans="2:23" ht="15.4" x14ac:dyDescent="0.45">
      <c r="B5" s="2" t="s">
        <v>0</v>
      </c>
      <c r="C5" s="7"/>
      <c r="O5" s="2" t="s">
        <v>0</v>
      </c>
      <c r="P5" s="7"/>
      <c r="Q5" s="71"/>
      <c r="R5" s="2" t="s">
        <v>0</v>
      </c>
      <c r="S5" s="7"/>
      <c r="U5" s="1" t="s">
        <v>158</v>
      </c>
    </row>
    <row r="6" spans="2:23" x14ac:dyDescent="0.45">
      <c r="B6" s="3" t="s">
        <v>39</v>
      </c>
      <c r="C6" s="101">
        <f>Input!C63</f>
        <v>1</v>
      </c>
      <c r="O6" s="334"/>
      <c r="P6" s="335"/>
      <c r="Q6" s="71"/>
      <c r="R6" s="3"/>
      <c r="S6" s="8"/>
      <c r="U6" s="63"/>
      <c r="V6" s="63"/>
    </row>
    <row r="7" spans="2:23" x14ac:dyDescent="0.45">
      <c r="B7" s="3" t="s">
        <v>40</v>
      </c>
      <c r="C7" s="101">
        <f>'Ableitung Optionspreise'!D27</f>
        <v>8.3120046774244081</v>
      </c>
      <c r="O7" s="334"/>
      <c r="P7" s="335"/>
      <c r="Q7" s="71"/>
      <c r="R7" s="3" t="s">
        <v>40</v>
      </c>
      <c r="S7" s="101">
        <f>'Ableitung Optionspreise'!D27</f>
        <v>8.3120046774244081</v>
      </c>
    </row>
    <row r="8" spans="2:23" ht="14.65" thickBot="1" x14ac:dyDescent="0.5">
      <c r="B8" s="3" t="s">
        <v>41</v>
      </c>
      <c r="C8" s="101">
        <f>Input!C43</f>
        <v>68</v>
      </c>
      <c r="O8" s="334"/>
      <c r="P8" s="335"/>
      <c r="Q8" s="71"/>
      <c r="R8" s="6" t="s">
        <v>41</v>
      </c>
      <c r="S8" s="111">
        <f>Input!C43</f>
        <v>68</v>
      </c>
    </row>
    <row r="9" spans="2:23" x14ac:dyDescent="0.45">
      <c r="B9" s="3" t="s">
        <v>44</v>
      </c>
      <c r="C9" s="101">
        <f>Input!C63</f>
        <v>1</v>
      </c>
      <c r="O9" s="334"/>
      <c r="P9" s="335"/>
      <c r="Q9" s="71"/>
      <c r="R9" s="67"/>
      <c r="S9" s="68"/>
    </row>
    <row r="10" spans="2:23" x14ac:dyDescent="0.45">
      <c r="B10" s="31" t="s">
        <v>43</v>
      </c>
      <c r="C10" s="103">
        <f>'Ableitung Optionspreise'!M27</f>
        <v>10.724901686056278</v>
      </c>
      <c r="O10" s="31" t="s">
        <v>43</v>
      </c>
      <c r="P10" s="103">
        <f>'Ableitung Optionspreise'!M27</f>
        <v>10.724901686056278</v>
      </c>
      <c r="Q10" s="71"/>
      <c r="R10" s="67"/>
      <c r="S10" s="68"/>
    </row>
    <row r="11" spans="2:23" ht="14.65" thickBot="1" x14ac:dyDescent="0.5">
      <c r="B11" s="30" t="s">
        <v>42</v>
      </c>
      <c r="C11" s="104">
        <f>Input!C45</f>
        <v>72</v>
      </c>
      <c r="O11" s="30" t="s">
        <v>42</v>
      </c>
      <c r="P11" s="104">
        <f>Input!C45</f>
        <v>72</v>
      </c>
      <c r="Q11" s="71"/>
      <c r="R11" s="67"/>
      <c r="S11" s="68"/>
      <c r="T11" s="43"/>
      <c r="U11" s="43"/>
      <c r="V11" s="43"/>
      <c r="W11" s="43"/>
    </row>
    <row r="12" spans="2:23" x14ac:dyDescent="0.45">
      <c r="O12" s="71"/>
      <c r="P12" s="71"/>
      <c r="Q12" s="71"/>
      <c r="R12" s="71"/>
      <c r="S12" s="71"/>
      <c r="T12" s="43"/>
      <c r="U12" s="43"/>
      <c r="V12" s="43"/>
      <c r="W12" s="43"/>
    </row>
    <row r="13" spans="2:23" x14ac:dyDescent="0.45">
      <c r="O13" s="43"/>
      <c r="P13" s="43"/>
      <c r="Q13" s="43"/>
      <c r="R13" s="43"/>
      <c r="S13" s="43"/>
      <c r="T13" s="43"/>
      <c r="U13" s="43"/>
      <c r="V13" s="43"/>
      <c r="W13" s="43"/>
    </row>
    <row r="14" spans="2:23" x14ac:dyDescent="0.45">
      <c r="O14" s="43"/>
      <c r="P14" s="43"/>
      <c r="Q14" s="43"/>
      <c r="R14" s="43"/>
      <c r="S14" s="43"/>
      <c r="T14" s="43"/>
      <c r="U14" s="43"/>
      <c r="V14" s="43"/>
      <c r="W14" s="43"/>
    </row>
    <row r="15" spans="2:23" x14ac:dyDescent="0.45">
      <c r="O15" s="43"/>
      <c r="P15" s="43"/>
      <c r="Q15" s="43"/>
      <c r="R15" s="43"/>
      <c r="S15" s="43"/>
      <c r="T15" s="43"/>
      <c r="U15" s="43"/>
      <c r="V15" s="43"/>
      <c r="W15" s="43"/>
    </row>
    <row r="16" spans="2:23" x14ac:dyDescent="0.45">
      <c r="O16" s="43"/>
      <c r="P16" s="43"/>
      <c r="Q16" s="43"/>
      <c r="R16" s="43"/>
      <c r="S16" s="43"/>
      <c r="T16" s="43"/>
      <c r="U16" s="43"/>
      <c r="V16" s="43"/>
      <c r="W16" s="43"/>
    </row>
    <row r="17" spans="2:23" x14ac:dyDescent="0.45">
      <c r="O17" s="43"/>
      <c r="P17" s="43"/>
      <c r="Q17" s="43"/>
      <c r="R17" s="43"/>
      <c r="S17" s="43"/>
      <c r="T17" s="43"/>
      <c r="U17" s="43"/>
      <c r="V17" s="43"/>
      <c r="W17" s="43"/>
    </row>
    <row r="18" spans="2:23" x14ac:dyDescent="0.45">
      <c r="O18" s="43"/>
      <c r="P18" s="43"/>
      <c r="Q18" s="43"/>
      <c r="R18" s="43"/>
      <c r="S18" s="43"/>
      <c r="T18" s="43"/>
      <c r="U18" s="43"/>
      <c r="V18" s="43"/>
      <c r="W18" s="43"/>
    </row>
    <row r="19" spans="2:23" x14ac:dyDescent="0.45">
      <c r="B19" s="54" t="s">
        <v>4</v>
      </c>
      <c r="C19" s="55" t="s">
        <v>19</v>
      </c>
      <c r="O19" s="54" t="s">
        <v>4</v>
      </c>
      <c r="P19" s="55" t="s">
        <v>19</v>
      </c>
      <c r="R19" s="54" t="s">
        <v>4</v>
      </c>
      <c r="S19" s="55" t="s">
        <v>19</v>
      </c>
      <c r="U19" s="58" t="s">
        <v>146</v>
      </c>
      <c r="V19" s="58" t="s">
        <v>19</v>
      </c>
    </row>
    <row r="20" spans="2:23" x14ac:dyDescent="0.45">
      <c r="B20" s="109">
        <f>Input!C5</f>
        <v>0</v>
      </c>
      <c r="C20" s="56">
        <f>SUM(IF(B20&lt;$C$8,$C$8-B20-$C$7,-$C$7)*$C$6,IF(B20&lt;$C$11,B20-$C$11+$C$10,$C$10)*$C$9)</f>
        <v>-1.587102991368134</v>
      </c>
      <c r="O20" s="109">
        <f>Input!C5</f>
        <v>0</v>
      </c>
      <c r="P20" s="56">
        <f>IF($O20&lt;$P$11,$P$10-$P$11+$O20,$P$10)</f>
        <v>-61.275098313943722</v>
      </c>
      <c r="R20" s="109">
        <f>Input!C5</f>
        <v>0</v>
      </c>
      <c r="S20" s="56">
        <f>IF(R20&lt;$S$8,$S$8-$R20-$S$7,-$S$7)</f>
        <v>59.687995322575588</v>
      </c>
      <c r="U20" s="69">
        <f>ROUND((C20-V20),2)</f>
        <v>0</v>
      </c>
      <c r="V20" s="56">
        <f>P20+S20</f>
        <v>-1.587102991368134</v>
      </c>
    </row>
    <row r="21" spans="2:23" x14ac:dyDescent="0.45">
      <c r="B21" s="109">
        <f>Input!C6</f>
        <v>5</v>
      </c>
      <c r="C21" s="56">
        <f t="shared" ref="C21:C48" si="0">SUM(IF(B21&lt;$C$8,$C$8-B21-$C$7,-$C$7)*$C$6,IF(B21&lt;$C$11,B21-$C$11+$C$10,$C$10)*$C$9)</f>
        <v>-1.587102991368134</v>
      </c>
      <c r="O21" s="109">
        <f>Input!C6</f>
        <v>5</v>
      </c>
      <c r="P21" s="56">
        <f t="shared" ref="P21:P48" si="1">IF($O21&lt;$P$11,$P$10-$P$11+$O21,$P$10)</f>
        <v>-56.275098313943722</v>
      </c>
      <c r="R21" s="109">
        <f>Input!C6</f>
        <v>5</v>
      </c>
      <c r="S21" s="56">
        <f t="shared" ref="S21:S48" si="2">IF(R21&lt;$S$8,$S$8-$R21-$S$7,-$S$7)</f>
        <v>54.687995322575588</v>
      </c>
      <c r="U21" s="69">
        <f t="shared" ref="U21:U48" si="3">ROUND((C21-V21),2)</f>
        <v>0</v>
      </c>
      <c r="V21" s="56">
        <f t="shared" ref="V21:V48" si="4">P21+S21</f>
        <v>-1.587102991368134</v>
      </c>
    </row>
    <row r="22" spans="2:23" x14ac:dyDescent="0.45">
      <c r="B22" s="109">
        <f>Input!C7</f>
        <v>10</v>
      </c>
      <c r="C22" s="56">
        <f t="shared" si="0"/>
        <v>-1.587102991368134</v>
      </c>
      <c r="O22" s="109">
        <f>Input!C7</f>
        <v>10</v>
      </c>
      <c r="P22" s="56">
        <f t="shared" si="1"/>
        <v>-51.275098313943722</v>
      </c>
      <c r="R22" s="109">
        <f>Input!C7</f>
        <v>10</v>
      </c>
      <c r="S22" s="56">
        <f t="shared" si="2"/>
        <v>49.687995322575588</v>
      </c>
      <c r="U22" s="69">
        <f t="shared" si="3"/>
        <v>0</v>
      </c>
      <c r="V22" s="56">
        <f t="shared" si="4"/>
        <v>-1.587102991368134</v>
      </c>
    </row>
    <row r="23" spans="2:23" x14ac:dyDescent="0.45">
      <c r="B23" s="109">
        <f>Input!C8</f>
        <v>15</v>
      </c>
      <c r="C23" s="56">
        <f t="shared" si="0"/>
        <v>-1.587102991368134</v>
      </c>
      <c r="O23" s="109">
        <f>Input!C8</f>
        <v>15</v>
      </c>
      <c r="P23" s="56">
        <f t="shared" si="1"/>
        <v>-46.275098313943722</v>
      </c>
      <c r="R23" s="109">
        <f>Input!C8</f>
        <v>15</v>
      </c>
      <c r="S23" s="56">
        <f t="shared" si="2"/>
        <v>44.687995322575588</v>
      </c>
      <c r="U23" s="69">
        <f t="shared" si="3"/>
        <v>0</v>
      </c>
      <c r="V23" s="56">
        <f t="shared" si="4"/>
        <v>-1.587102991368134</v>
      </c>
    </row>
    <row r="24" spans="2:23" x14ac:dyDescent="0.45">
      <c r="B24" s="109">
        <f>Input!C9</f>
        <v>20</v>
      </c>
      <c r="C24" s="56">
        <f t="shared" si="0"/>
        <v>-1.587102991368134</v>
      </c>
      <c r="O24" s="109">
        <f>Input!C9</f>
        <v>20</v>
      </c>
      <c r="P24" s="56">
        <f t="shared" si="1"/>
        <v>-41.275098313943722</v>
      </c>
      <c r="R24" s="109">
        <f>Input!C9</f>
        <v>20</v>
      </c>
      <c r="S24" s="56">
        <f t="shared" si="2"/>
        <v>39.687995322575588</v>
      </c>
      <c r="U24" s="69">
        <f t="shared" si="3"/>
        <v>0</v>
      </c>
      <c r="V24" s="56">
        <f t="shared" si="4"/>
        <v>-1.587102991368134</v>
      </c>
    </row>
    <row r="25" spans="2:23" x14ac:dyDescent="0.45">
      <c r="B25" s="109">
        <f>Input!C10</f>
        <v>25</v>
      </c>
      <c r="C25" s="56">
        <f t="shared" si="0"/>
        <v>-1.587102991368134</v>
      </c>
      <c r="O25" s="109">
        <f>Input!C10</f>
        <v>25</v>
      </c>
      <c r="P25" s="56">
        <f>IF($O25&lt;$P$11,$P$10-$P$11+$O25,$P$10)</f>
        <v>-36.275098313943722</v>
      </c>
      <c r="R25" s="109">
        <f>Input!C10</f>
        <v>25</v>
      </c>
      <c r="S25" s="56">
        <f t="shared" si="2"/>
        <v>34.687995322575588</v>
      </c>
      <c r="U25" s="69">
        <f t="shared" si="3"/>
        <v>0</v>
      </c>
      <c r="V25" s="56">
        <f t="shared" si="4"/>
        <v>-1.587102991368134</v>
      </c>
    </row>
    <row r="26" spans="2:23" x14ac:dyDescent="0.45">
      <c r="B26" s="109">
        <f>Input!C11</f>
        <v>30</v>
      </c>
      <c r="C26" s="56">
        <f t="shared" si="0"/>
        <v>-1.5871029913681305</v>
      </c>
      <c r="O26" s="109">
        <f>Input!C11</f>
        <v>30</v>
      </c>
      <c r="P26" s="56">
        <f t="shared" si="1"/>
        <v>-31.275098313943722</v>
      </c>
      <c r="R26" s="109">
        <f>Input!C11</f>
        <v>30</v>
      </c>
      <c r="S26" s="56">
        <f t="shared" si="2"/>
        <v>29.687995322575592</v>
      </c>
      <c r="U26" s="69">
        <f t="shared" si="3"/>
        <v>0</v>
      </c>
      <c r="V26" s="56">
        <f t="shared" si="4"/>
        <v>-1.5871029913681305</v>
      </c>
    </row>
    <row r="27" spans="2:23" x14ac:dyDescent="0.45">
      <c r="B27" s="109">
        <f>Input!C12</f>
        <v>35</v>
      </c>
      <c r="C27" s="56">
        <f t="shared" si="0"/>
        <v>-1.5871029913681305</v>
      </c>
      <c r="O27" s="109">
        <f>Input!C12</f>
        <v>35</v>
      </c>
      <c r="P27" s="56">
        <f t="shared" si="1"/>
        <v>-26.275098313943722</v>
      </c>
      <c r="R27" s="109">
        <f>Input!C12</f>
        <v>35</v>
      </c>
      <c r="S27" s="56">
        <f t="shared" si="2"/>
        <v>24.687995322575592</v>
      </c>
      <c r="U27" s="69">
        <f t="shared" si="3"/>
        <v>0</v>
      </c>
      <c r="V27" s="56">
        <f t="shared" si="4"/>
        <v>-1.5871029913681305</v>
      </c>
    </row>
    <row r="28" spans="2:23" x14ac:dyDescent="0.45">
      <c r="B28" s="109">
        <f>Input!C13</f>
        <v>40</v>
      </c>
      <c r="C28" s="56">
        <f t="shared" si="0"/>
        <v>-1.5871029913681305</v>
      </c>
      <c r="O28" s="109">
        <f>Input!C13</f>
        <v>40</v>
      </c>
      <c r="P28" s="56">
        <f t="shared" si="1"/>
        <v>-21.275098313943722</v>
      </c>
      <c r="R28" s="109">
        <f>Input!C13</f>
        <v>40</v>
      </c>
      <c r="S28" s="56">
        <f t="shared" si="2"/>
        <v>19.687995322575592</v>
      </c>
      <c r="U28" s="69">
        <f t="shared" si="3"/>
        <v>0</v>
      </c>
      <c r="V28" s="56">
        <f t="shared" si="4"/>
        <v>-1.5871029913681305</v>
      </c>
    </row>
    <row r="29" spans="2:23" x14ac:dyDescent="0.45">
      <c r="B29" s="109">
        <f>Input!C14</f>
        <v>45</v>
      </c>
      <c r="C29" s="56">
        <f t="shared" si="0"/>
        <v>-1.5871029913681305</v>
      </c>
      <c r="O29" s="109">
        <f>Input!C14</f>
        <v>45</v>
      </c>
      <c r="P29" s="56">
        <f t="shared" si="1"/>
        <v>-16.275098313943722</v>
      </c>
      <c r="R29" s="109">
        <f>Input!C14</f>
        <v>45</v>
      </c>
      <c r="S29" s="56">
        <f t="shared" si="2"/>
        <v>14.687995322575592</v>
      </c>
      <c r="U29" s="69">
        <f t="shared" si="3"/>
        <v>0</v>
      </c>
      <c r="V29" s="56">
        <f t="shared" si="4"/>
        <v>-1.5871029913681305</v>
      </c>
    </row>
    <row r="30" spans="2:23" x14ac:dyDescent="0.45">
      <c r="B30" s="109">
        <f>Input!C15</f>
        <v>50</v>
      </c>
      <c r="C30" s="56">
        <f t="shared" si="0"/>
        <v>-1.5871029913681305</v>
      </c>
      <c r="O30" s="109">
        <f>Input!C15</f>
        <v>50</v>
      </c>
      <c r="P30" s="56">
        <f t="shared" si="1"/>
        <v>-11.275098313943722</v>
      </c>
      <c r="R30" s="109">
        <f>Input!C15</f>
        <v>50</v>
      </c>
      <c r="S30" s="56">
        <f t="shared" si="2"/>
        <v>9.6879953225755919</v>
      </c>
      <c r="U30" s="69">
        <f t="shared" si="3"/>
        <v>0</v>
      </c>
      <c r="V30" s="56">
        <f t="shared" si="4"/>
        <v>-1.5871029913681305</v>
      </c>
    </row>
    <row r="31" spans="2:23" x14ac:dyDescent="0.45">
      <c r="B31" s="109">
        <f>Input!C16</f>
        <v>55</v>
      </c>
      <c r="C31" s="56">
        <f t="shared" si="0"/>
        <v>-1.5871029913681305</v>
      </c>
      <c r="O31" s="109">
        <f>Input!C16</f>
        <v>55</v>
      </c>
      <c r="P31" s="56">
        <f t="shared" si="1"/>
        <v>-6.2750983139437224</v>
      </c>
      <c r="R31" s="109">
        <f>Input!C16</f>
        <v>55</v>
      </c>
      <c r="S31" s="56">
        <f t="shared" si="2"/>
        <v>4.6879953225755919</v>
      </c>
      <c r="U31" s="69">
        <f t="shared" si="3"/>
        <v>0</v>
      </c>
      <c r="V31" s="56">
        <f t="shared" si="4"/>
        <v>-1.5871029913681305</v>
      </c>
    </row>
    <row r="32" spans="2:23" x14ac:dyDescent="0.45">
      <c r="B32" s="109">
        <f>Input!C17</f>
        <v>60</v>
      </c>
      <c r="C32" s="56">
        <f t="shared" si="0"/>
        <v>-1.5871029913681305</v>
      </c>
      <c r="O32" s="109">
        <f>Input!C17</f>
        <v>60</v>
      </c>
      <c r="P32" s="56">
        <f t="shared" si="1"/>
        <v>-1.2750983139437224</v>
      </c>
      <c r="R32" s="109">
        <f>Input!C17</f>
        <v>60</v>
      </c>
      <c r="S32" s="56">
        <f t="shared" si="2"/>
        <v>-0.31200467742440807</v>
      </c>
      <c r="U32" s="69">
        <f t="shared" si="3"/>
        <v>0</v>
      </c>
      <c r="V32" s="56">
        <f t="shared" si="4"/>
        <v>-1.5871029913681305</v>
      </c>
    </row>
    <row r="33" spans="2:22" x14ac:dyDescent="0.45">
      <c r="B33" s="109">
        <f>Input!C18</f>
        <v>65</v>
      </c>
      <c r="C33" s="56">
        <f t="shared" si="0"/>
        <v>-1.5871029913681305</v>
      </c>
      <c r="O33" s="109">
        <f>Input!C18</f>
        <v>65</v>
      </c>
      <c r="P33" s="56">
        <f t="shared" si="1"/>
        <v>3.7249016860562776</v>
      </c>
      <c r="R33" s="109">
        <f>Input!C18</f>
        <v>65</v>
      </c>
      <c r="S33" s="56">
        <f t="shared" si="2"/>
        <v>-5.3120046774244081</v>
      </c>
      <c r="U33" s="69">
        <f t="shared" si="3"/>
        <v>0</v>
      </c>
      <c r="V33" s="56">
        <f t="shared" si="4"/>
        <v>-1.5871029913681305</v>
      </c>
    </row>
    <row r="34" spans="2:22" x14ac:dyDescent="0.45">
      <c r="B34" s="109">
        <f>Input!C19</f>
        <v>70</v>
      </c>
      <c r="C34" s="56">
        <f t="shared" si="0"/>
        <v>0.41289700863186951</v>
      </c>
      <c r="O34" s="109">
        <f>Input!C19</f>
        <v>70</v>
      </c>
      <c r="P34" s="56">
        <f t="shared" si="1"/>
        <v>8.7249016860562776</v>
      </c>
      <c r="R34" s="109">
        <f>Input!C19</f>
        <v>70</v>
      </c>
      <c r="S34" s="56">
        <f t="shared" si="2"/>
        <v>-8.3120046774244081</v>
      </c>
      <c r="U34" s="69">
        <f t="shared" si="3"/>
        <v>0</v>
      </c>
      <c r="V34" s="56">
        <f t="shared" si="4"/>
        <v>0.41289700863186951</v>
      </c>
    </row>
    <row r="35" spans="2:22" x14ac:dyDescent="0.45">
      <c r="B35" s="109">
        <f>Input!C20</f>
        <v>75</v>
      </c>
      <c r="C35" s="56">
        <f t="shared" si="0"/>
        <v>2.4128970086318695</v>
      </c>
      <c r="O35" s="109">
        <f>Input!C20</f>
        <v>75</v>
      </c>
      <c r="P35" s="56">
        <f t="shared" si="1"/>
        <v>10.724901686056278</v>
      </c>
      <c r="R35" s="109">
        <f>Input!C20</f>
        <v>75</v>
      </c>
      <c r="S35" s="56">
        <f t="shared" si="2"/>
        <v>-8.3120046774244081</v>
      </c>
      <c r="U35" s="69">
        <f t="shared" si="3"/>
        <v>0</v>
      </c>
      <c r="V35" s="56">
        <f t="shared" si="4"/>
        <v>2.4128970086318695</v>
      </c>
    </row>
    <row r="36" spans="2:22" x14ac:dyDescent="0.45">
      <c r="B36" s="109">
        <f>Input!C21</f>
        <v>80</v>
      </c>
      <c r="C36" s="56">
        <f t="shared" si="0"/>
        <v>2.4128970086318695</v>
      </c>
      <c r="O36" s="109">
        <f>Input!C21</f>
        <v>80</v>
      </c>
      <c r="P36" s="56">
        <f t="shared" si="1"/>
        <v>10.724901686056278</v>
      </c>
      <c r="R36" s="109">
        <f>Input!C21</f>
        <v>80</v>
      </c>
      <c r="S36" s="56">
        <f t="shared" si="2"/>
        <v>-8.3120046774244081</v>
      </c>
      <c r="U36" s="69">
        <f t="shared" si="3"/>
        <v>0</v>
      </c>
      <c r="V36" s="56">
        <f t="shared" si="4"/>
        <v>2.4128970086318695</v>
      </c>
    </row>
    <row r="37" spans="2:22" x14ac:dyDescent="0.45">
      <c r="B37" s="109">
        <f>Input!C22</f>
        <v>85</v>
      </c>
      <c r="C37" s="56">
        <f t="shared" si="0"/>
        <v>2.4128970086318695</v>
      </c>
      <c r="O37" s="109">
        <f>Input!C22</f>
        <v>85</v>
      </c>
      <c r="P37" s="56">
        <f t="shared" si="1"/>
        <v>10.724901686056278</v>
      </c>
      <c r="R37" s="109">
        <f>Input!C22</f>
        <v>85</v>
      </c>
      <c r="S37" s="56">
        <f t="shared" si="2"/>
        <v>-8.3120046774244081</v>
      </c>
      <c r="U37" s="69">
        <f t="shared" si="3"/>
        <v>0</v>
      </c>
      <c r="V37" s="56">
        <f t="shared" si="4"/>
        <v>2.4128970086318695</v>
      </c>
    </row>
    <row r="38" spans="2:22" x14ac:dyDescent="0.45">
      <c r="B38" s="109">
        <f>Input!C23</f>
        <v>90</v>
      </c>
      <c r="C38" s="56">
        <f t="shared" si="0"/>
        <v>2.4128970086318695</v>
      </c>
      <c r="O38" s="109">
        <f>Input!C23</f>
        <v>90</v>
      </c>
      <c r="P38" s="56">
        <f t="shared" si="1"/>
        <v>10.724901686056278</v>
      </c>
      <c r="R38" s="109">
        <f>Input!C23</f>
        <v>90</v>
      </c>
      <c r="S38" s="56">
        <f t="shared" si="2"/>
        <v>-8.3120046774244081</v>
      </c>
      <c r="U38" s="69">
        <f t="shared" si="3"/>
        <v>0</v>
      </c>
      <c r="V38" s="56">
        <f t="shared" si="4"/>
        <v>2.4128970086318695</v>
      </c>
    </row>
    <row r="39" spans="2:22" x14ac:dyDescent="0.45">
      <c r="B39" s="109">
        <f>Input!C24</f>
        <v>95</v>
      </c>
      <c r="C39" s="56">
        <f t="shared" si="0"/>
        <v>2.4128970086318695</v>
      </c>
      <c r="O39" s="109">
        <f>Input!C24</f>
        <v>95</v>
      </c>
      <c r="P39" s="56">
        <f t="shared" si="1"/>
        <v>10.724901686056278</v>
      </c>
      <c r="R39" s="109">
        <f>Input!C24</f>
        <v>95</v>
      </c>
      <c r="S39" s="56">
        <f t="shared" si="2"/>
        <v>-8.3120046774244081</v>
      </c>
      <c r="U39" s="69">
        <f t="shared" si="3"/>
        <v>0</v>
      </c>
      <c r="V39" s="56">
        <f t="shared" si="4"/>
        <v>2.4128970086318695</v>
      </c>
    </row>
    <row r="40" spans="2:22" x14ac:dyDescent="0.45">
      <c r="B40" s="109">
        <f>Input!C25</f>
        <v>100</v>
      </c>
      <c r="C40" s="56">
        <f t="shared" si="0"/>
        <v>2.4128970086318695</v>
      </c>
      <c r="O40" s="109">
        <f>Input!C25</f>
        <v>100</v>
      </c>
      <c r="P40" s="56">
        <f t="shared" si="1"/>
        <v>10.724901686056278</v>
      </c>
      <c r="R40" s="109">
        <f>Input!C25</f>
        <v>100</v>
      </c>
      <c r="S40" s="56">
        <f t="shared" si="2"/>
        <v>-8.3120046774244081</v>
      </c>
      <c r="U40" s="69">
        <f t="shared" si="3"/>
        <v>0</v>
      </c>
      <c r="V40" s="56">
        <f t="shared" si="4"/>
        <v>2.4128970086318695</v>
      </c>
    </row>
    <row r="41" spans="2:22" x14ac:dyDescent="0.45">
      <c r="B41" s="109">
        <f>Input!C26</f>
        <v>105</v>
      </c>
      <c r="C41" s="56">
        <f t="shared" si="0"/>
        <v>2.4128970086318695</v>
      </c>
      <c r="O41" s="109">
        <f>Input!C26</f>
        <v>105</v>
      </c>
      <c r="P41" s="56">
        <f t="shared" si="1"/>
        <v>10.724901686056278</v>
      </c>
      <c r="R41" s="109">
        <f>Input!C26</f>
        <v>105</v>
      </c>
      <c r="S41" s="56">
        <f t="shared" si="2"/>
        <v>-8.3120046774244081</v>
      </c>
      <c r="U41" s="69">
        <f t="shared" si="3"/>
        <v>0</v>
      </c>
      <c r="V41" s="56">
        <f t="shared" si="4"/>
        <v>2.4128970086318695</v>
      </c>
    </row>
    <row r="42" spans="2:22" x14ac:dyDescent="0.45">
      <c r="B42" s="109">
        <f>Input!C27</f>
        <v>110</v>
      </c>
      <c r="C42" s="56">
        <f t="shared" si="0"/>
        <v>2.4128970086318695</v>
      </c>
      <c r="O42" s="109">
        <f>Input!C27</f>
        <v>110</v>
      </c>
      <c r="P42" s="56">
        <f t="shared" si="1"/>
        <v>10.724901686056278</v>
      </c>
      <c r="R42" s="109">
        <f>Input!C27</f>
        <v>110</v>
      </c>
      <c r="S42" s="56">
        <f t="shared" si="2"/>
        <v>-8.3120046774244081</v>
      </c>
      <c r="U42" s="69">
        <f t="shared" si="3"/>
        <v>0</v>
      </c>
      <c r="V42" s="56">
        <f t="shared" si="4"/>
        <v>2.4128970086318695</v>
      </c>
    </row>
    <row r="43" spans="2:22" x14ac:dyDescent="0.45">
      <c r="B43" s="109">
        <f>Input!C28</f>
        <v>115</v>
      </c>
      <c r="C43" s="56">
        <f t="shared" si="0"/>
        <v>2.4128970086318695</v>
      </c>
      <c r="O43" s="109">
        <f>Input!C28</f>
        <v>115</v>
      </c>
      <c r="P43" s="56">
        <f t="shared" si="1"/>
        <v>10.724901686056278</v>
      </c>
      <c r="R43" s="109">
        <f>Input!C28</f>
        <v>115</v>
      </c>
      <c r="S43" s="56">
        <f t="shared" si="2"/>
        <v>-8.3120046774244081</v>
      </c>
      <c r="U43" s="69">
        <f t="shared" si="3"/>
        <v>0</v>
      </c>
      <c r="V43" s="56">
        <f t="shared" si="4"/>
        <v>2.4128970086318695</v>
      </c>
    </row>
    <row r="44" spans="2:22" x14ac:dyDescent="0.45">
      <c r="B44" s="109">
        <f>Input!C29</f>
        <v>120</v>
      </c>
      <c r="C44" s="56">
        <f t="shared" si="0"/>
        <v>2.4128970086318695</v>
      </c>
      <c r="O44" s="109">
        <f>Input!C29</f>
        <v>120</v>
      </c>
      <c r="P44" s="56">
        <f t="shared" si="1"/>
        <v>10.724901686056278</v>
      </c>
      <c r="R44" s="109">
        <f>Input!C29</f>
        <v>120</v>
      </c>
      <c r="S44" s="56">
        <f t="shared" si="2"/>
        <v>-8.3120046774244081</v>
      </c>
      <c r="U44" s="69">
        <f t="shared" si="3"/>
        <v>0</v>
      </c>
      <c r="V44" s="56">
        <f t="shared" si="4"/>
        <v>2.4128970086318695</v>
      </c>
    </row>
    <row r="45" spans="2:22" x14ac:dyDescent="0.45">
      <c r="B45" s="109">
        <f>Input!C30</f>
        <v>125</v>
      </c>
      <c r="C45" s="56">
        <f t="shared" si="0"/>
        <v>2.4128970086318695</v>
      </c>
      <c r="O45" s="109">
        <f>Input!C30</f>
        <v>125</v>
      </c>
      <c r="P45" s="56">
        <f t="shared" si="1"/>
        <v>10.724901686056278</v>
      </c>
      <c r="R45" s="109">
        <f>Input!C30</f>
        <v>125</v>
      </c>
      <c r="S45" s="56">
        <f t="shared" si="2"/>
        <v>-8.3120046774244081</v>
      </c>
      <c r="U45" s="69">
        <f t="shared" si="3"/>
        <v>0</v>
      </c>
      <c r="V45" s="56">
        <f t="shared" si="4"/>
        <v>2.4128970086318695</v>
      </c>
    </row>
    <row r="46" spans="2:22" x14ac:dyDescent="0.45">
      <c r="B46" s="109">
        <f>Input!C31</f>
        <v>130</v>
      </c>
      <c r="C46" s="56">
        <f t="shared" si="0"/>
        <v>2.4128970086318695</v>
      </c>
      <c r="O46" s="109">
        <f>Input!C31</f>
        <v>130</v>
      </c>
      <c r="P46" s="56">
        <f t="shared" si="1"/>
        <v>10.724901686056278</v>
      </c>
      <c r="R46" s="109">
        <f>Input!C31</f>
        <v>130</v>
      </c>
      <c r="S46" s="56">
        <f t="shared" si="2"/>
        <v>-8.3120046774244081</v>
      </c>
      <c r="U46" s="69">
        <f t="shared" si="3"/>
        <v>0</v>
      </c>
      <c r="V46" s="56">
        <f t="shared" si="4"/>
        <v>2.4128970086318695</v>
      </c>
    </row>
    <row r="47" spans="2:22" x14ac:dyDescent="0.45">
      <c r="B47" s="109">
        <f>Input!C32</f>
        <v>135</v>
      </c>
      <c r="C47" s="56">
        <f t="shared" si="0"/>
        <v>2.4128970086318695</v>
      </c>
      <c r="O47" s="109">
        <f>Input!C32</f>
        <v>135</v>
      </c>
      <c r="P47" s="56">
        <f t="shared" si="1"/>
        <v>10.724901686056278</v>
      </c>
      <c r="R47" s="109">
        <f>Input!C32</f>
        <v>135</v>
      </c>
      <c r="S47" s="56">
        <f t="shared" si="2"/>
        <v>-8.3120046774244081</v>
      </c>
      <c r="U47" s="69">
        <f t="shared" si="3"/>
        <v>0</v>
      </c>
      <c r="V47" s="56">
        <f t="shared" si="4"/>
        <v>2.4128970086318695</v>
      </c>
    </row>
    <row r="48" spans="2:22" x14ac:dyDescent="0.45">
      <c r="B48" s="110">
        <f>Input!C33</f>
        <v>140</v>
      </c>
      <c r="C48" s="57">
        <f t="shared" si="0"/>
        <v>2.4128970086318695</v>
      </c>
      <c r="O48" s="110">
        <f>Input!C33</f>
        <v>140</v>
      </c>
      <c r="P48" s="57">
        <f t="shared" si="1"/>
        <v>10.724901686056278</v>
      </c>
      <c r="R48" s="110">
        <f>Input!C33</f>
        <v>140</v>
      </c>
      <c r="S48" s="57">
        <f t="shared" si="2"/>
        <v>-8.3120046774244081</v>
      </c>
      <c r="U48" s="70">
        <f t="shared" si="3"/>
        <v>0</v>
      </c>
      <c r="V48" s="57">
        <f t="shared" si="4"/>
        <v>2.4128970086318695</v>
      </c>
    </row>
    <row r="50" spans="2:3" ht="26.25" x14ac:dyDescent="0.45">
      <c r="B50" s="296" t="s">
        <v>262</v>
      </c>
      <c r="C50" s="223">
        <f>-C7+C10</f>
        <v>2.4128970086318695</v>
      </c>
    </row>
  </sheetData>
  <conditionalFormatting sqref="A1:N4 A5:B5 D5:N5 X1:XFD1048576 A6:N11 A49:N49 A12:A48 D12:N48 V2:V4 U3:U5 B19:C48 A51:N1048576 A50 D50:N50">
    <cfRule type="containsBlanks" dxfId="392" priority="21">
      <formula>LEN(TRIM(A1))=0</formula>
    </cfRule>
  </conditionalFormatting>
  <conditionalFormatting sqref="O1:W1 O4:Q4 P2:T2 W2:W41 Q5:Q11 T3:T11 U49:W1048576 P3:Q3 O19:T1048576 V42:W48">
    <cfRule type="containsBlanks" dxfId="391" priority="20">
      <formula>LEN(TRIM(O1))=0</formula>
    </cfRule>
  </conditionalFormatting>
  <conditionalFormatting sqref="U6:V11 V19:V48">
    <cfRule type="containsBlanks" dxfId="390" priority="15">
      <formula>LEN(TRIM(U6))=0</formula>
    </cfRule>
  </conditionalFormatting>
  <conditionalFormatting sqref="S3 R4:S4">
    <cfRule type="containsBlanks" dxfId="389" priority="18">
      <formula>LEN(TRIM(R3))=0</formula>
    </cfRule>
  </conditionalFormatting>
  <conditionalFormatting sqref="V19">
    <cfRule type="containsBlanks" dxfId="388" priority="14">
      <formula>LEN(TRIM(V19))=0</formula>
    </cfRule>
  </conditionalFormatting>
  <conditionalFormatting sqref="R3">
    <cfRule type="containsBlanks" dxfId="387" priority="16">
      <formula>LEN(TRIM(R3))=0</formula>
    </cfRule>
  </conditionalFormatting>
  <conditionalFormatting sqref="U19">
    <cfRule type="containsBlanks" dxfId="386" priority="13">
      <formula>LEN(TRIM(U19))=0</formula>
    </cfRule>
  </conditionalFormatting>
  <conditionalFormatting sqref="V20:V48">
    <cfRule type="containsBlanks" dxfId="385" priority="12">
      <formula>LEN(TRIM(V20))=0</formula>
    </cfRule>
  </conditionalFormatting>
  <conditionalFormatting sqref="U5:V5">
    <cfRule type="containsBlanks" dxfId="384" priority="11">
      <formula>LEN(TRIM(U5))=0</formula>
    </cfRule>
  </conditionalFormatting>
  <conditionalFormatting sqref="O6:P11 O5">
    <cfRule type="containsBlanks" dxfId="383" priority="9">
      <formula>LEN(TRIM(O5))=0</formula>
    </cfRule>
  </conditionalFormatting>
  <conditionalFormatting sqref="R6:S11 R5">
    <cfRule type="containsBlanks" dxfId="382" priority="8">
      <formula>LEN(TRIM(R5))=0</formula>
    </cfRule>
  </conditionalFormatting>
  <conditionalFormatting sqref="O2">
    <cfRule type="containsBlanks" dxfId="381" priority="7">
      <formula>LEN(TRIM(O2))=0</formula>
    </cfRule>
  </conditionalFormatting>
  <conditionalFormatting sqref="O3">
    <cfRule type="containsBlanks" dxfId="380" priority="6">
      <formula>LEN(TRIM(O3))=0</formula>
    </cfRule>
  </conditionalFormatting>
  <conditionalFormatting sqref="B12:C18">
    <cfRule type="containsBlanks" dxfId="379" priority="5">
      <formula>LEN(TRIM(B12))=0</formula>
    </cfRule>
  </conditionalFormatting>
  <conditionalFormatting sqref="U20:U48">
    <cfRule type="containsBlanks" dxfId="378" priority="4">
      <formula>LEN(TRIM(U20))=0</formula>
    </cfRule>
  </conditionalFormatting>
  <conditionalFormatting sqref="C50">
    <cfRule type="containsBlanks" dxfId="377" priority="3">
      <formula>LEN(TRIM(C50))=0</formula>
    </cfRule>
  </conditionalFormatting>
  <conditionalFormatting sqref="B50">
    <cfRule type="containsBlanks" dxfId="376" priority="1">
      <formula>LEN(TRIM(B50))=0</formula>
    </cfRule>
  </conditionalFormatting>
  <pageMargins left="0.7" right="0.7" top="0.75" bottom="0.75" header="0.3" footer="0.3"/>
  <pageSetup paperSize="9" orientation="portrait" horizontalDpi="0"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B2:V50"/>
  <sheetViews>
    <sheetView zoomScale="69" zoomScaleNormal="69" workbookViewId="0">
      <selection activeCell="G51" sqref="G51"/>
    </sheetView>
  </sheetViews>
  <sheetFormatPr baseColWidth="10" defaultColWidth="9.1328125" defaultRowHeight="14.25" x14ac:dyDescent="0.45"/>
  <cols>
    <col min="2" max="2" width="27.3984375" bestFit="1" customWidth="1"/>
    <col min="15" max="15" width="25.9296875" bestFit="1" customWidth="1"/>
    <col min="18" max="18" width="25.9296875" bestFit="1" customWidth="1"/>
  </cols>
  <sheetData>
    <row r="2" spans="2:22" ht="15.4" x14ac:dyDescent="0.45">
      <c r="U2" s="1" t="s">
        <v>107</v>
      </c>
      <c r="V2" s="1"/>
    </row>
    <row r="3" spans="2:22" ht="15.4" x14ac:dyDescent="0.45">
      <c r="B3" s="1" t="s">
        <v>107</v>
      </c>
      <c r="O3" s="1" t="s">
        <v>140</v>
      </c>
      <c r="R3" s="1" t="s">
        <v>141</v>
      </c>
      <c r="U3" s="43" t="s">
        <v>148</v>
      </c>
      <c r="V3" s="43"/>
    </row>
    <row r="4" spans="2:22" ht="15.75" thickBot="1" x14ac:dyDescent="0.5">
      <c r="U4" s="1" t="s">
        <v>159</v>
      </c>
      <c r="V4" s="1"/>
    </row>
    <row r="5" spans="2:22" x14ac:dyDescent="0.45">
      <c r="B5" s="2" t="s">
        <v>0</v>
      </c>
      <c r="C5" s="7"/>
      <c r="O5" s="2" t="s">
        <v>0</v>
      </c>
      <c r="P5" s="7"/>
      <c r="R5" s="2" t="s">
        <v>0</v>
      </c>
      <c r="S5" s="7"/>
    </row>
    <row r="6" spans="2:22" x14ac:dyDescent="0.45">
      <c r="B6" s="3" t="s">
        <v>35</v>
      </c>
      <c r="C6" s="101">
        <f>Input!C62</f>
        <v>2</v>
      </c>
      <c r="O6" s="3" t="str">
        <f>B6</f>
        <v>Anzahl Long-Calls</v>
      </c>
      <c r="P6" s="101">
        <f>Input!C62</f>
        <v>2</v>
      </c>
      <c r="R6" s="250"/>
      <c r="S6" s="251"/>
      <c r="U6" s="63"/>
      <c r="V6" s="63"/>
    </row>
    <row r="7" spans="2:22" x14ac:dyDescent="0.45">
      <c r="B7" s="3" t="s">
        <v>34</v>
      </c>
      <c r="C7" s="101">
        <f>'Ableitung Optionspreise'!L27</f>
        <v>6.1273274075246036</v>
      </c>
      <c r="O7" s="3" t="str">
        <f t="shared" ref="O7:O8" si="0">B7</f>
        <v>Preis des Long-Calls</v>
      </c>
      <c r="P7" s="101">
        <f>'Ableitung Optionspreise'!L27</f>
        <v>6.1273274075246036</v>
      </c>
      <c r="R7" s="250"/>
      <c r="S7" s="251"/>
    </row>
    <row r="8" spans="2:22" ht="14.65" thickBot="1" x14ac:dyDescent="0.5">
      <c r="B8" s="3" t="s">
        <v>33</v>
      </c>
      <c r="C8" s="101">
        <f>Input!C45</f>
        <v>72</v>
      </c>
      <c r="O8" s="6" t="str">
        <f t="shared" si="0"/>
        <v>Basispreis des Long-Calls</v>
      </c>
      <c r="P8" s="111">
        <f>Input!C45</f>
        <v>72</v>
      </c>
      <c r="R8" s="250"/>
      <c r="S8" s="251"/>
    </row>
    <row r="9" spans="2:22" x14ac:dyDescent="0.45">
      <c r="B9" s="3" t="s">
        <v>36</v>
      </c>
      <c r="C9" s="101">
        <f>Input!C61</f>
        <v>1</v>
      </c>
      <c r="R9" s="3" t="str">
        <f>B9</f>
        <v>Anzahl Short-Calls</v>
      </c>
      <c r="S9" s="101">
        <f>Input!C61</f>
        <v>1</v>
      </c>
    </row>
    <row r="10" spans="2:22" x14ac:dyDescent="0.45">
      <c r="B10" s="31" t="s">
        <v>37</v>
      </c>
      <c r="C10" s="103">
        <f>'Ableitung Optionspreise'!C27</f>
        <v>7.6746297338894109</v>
      </c>
      <c r="R10" s="31" t="str">
        <f t="shared" ref="R10:R11" si="1">B10</f>
        <v>Preis des Short-Calls</v>
      </c>
      <c r="S10" s="103">
        <f>'Ableitung Optionspreise'!C27</f>
        <v>7.6746297338894109</v>
      </c>
    </row>
    <row r="11" spans="2:22" ht="14.65" thickBot="1" x14ac:dyDescent="0.5">
      <c r="B11" s="30" t="s">
        <v>38</v>
      </c>
      <c r="C11" s="104">
        <f>Input!C43</f>
        <v>68</v>
      </c>
      <c r="R11" s="30" t="str">
        <f t="shared" si="1"/>
        <v>Basispreis des Short-Calls</v>
      </c>
      <c r="S11" s="104">
        <f>Input!C43</f>
        <v>68</v>
      </c>
      <c r="U11" s="43"/>
      <c r="V11" s="43"/>
    </row>
    <row r="12" spans="2:22" x14ac:dyDescent="0.45">
      <c r="B12" s="36"/>
      <c r="C12" s="36"/>
      <c r="O12" s="43"/>
      <c r="P12" s="43"/>
      <c r="R12" s="43"/>
      <c r="S12" s="43"/>
      <c r="U12" s="43"/>
      <c r="V12" s="43"/>
    </row>
    <row r="13" spans="2:22" x14ac:dyDescent="0.45">
      <c r="O13" s="43"/>
      <c r="P13" s="43"/>
      <c r="R13" s="43"/>
      <c r="S13" s="43"/>
      <c r="U13" s="43"/>
      <c r="V13" s="43"/>
    </row>
    <row r="14" spans="2:22" x14ac:dyDescent="0.45">
      <c r="O14" s="43"/>
      <c r="P14" s="43"/>
      <c r="R14" s="43"/>
      <c r="S14" s="43"/>
      <c r="U14" s="43"/>
      <c r="V14" s="43"/>
    </row>
    <row r="15" spans="2:22" x14ac:dyDescent="0.45">
      <c r="O15" s="43"/>
      <c r="P15" s="43"/>
      <c r="R15" s="43"/>
      <c r="S15" s="43"/>
      <c r="U15" s="43"/>
      <c r="V15" s="43"/>
    </row>
    <row r="16" spans="2:22" x14ac:dyDescent="0.45">
      <c r="O16" s="43"/>
      <c r="P16" s="43"/>
      <c r="R16" s="43"/>
      <c r="S16" s="43"/>
      <c r="U16" s="43"/>
      <c r="V16" s="43"/>
    </row>
    <row r="17" spans="2:22" x14ac:dyDescent="0.45">
      <c r="O17" s="43"/>
      <c r="P17" s="43"/>
      <c r="R17" s="43"/>
      <c r="S17" s="43"/>
      <c r="U17" s="43"/>
      <c r="V17" s="43"/>
    </row>
    <row r="18" spans="2:22" x14ac:dyDescent="0.45">
      <c r="O18" s="43"/>
      <c r="P18" s="43"/>
      <c r="R18" s="43"/>
      <c r="S18" s="43"/>
      <c r="U18" s="43"/>
      <c r="V18" s="43"/>
    </row>
    <row r="19" spans="2:22" x14ac:dyDescent="0.45">
      <c r="B19" s="54" t="s">
        <v>4</v>
      </c>
      <c r="C19" s="55" t="s">
        <v>19</v>
      </c>
      <c r="O19" s="54" t="s">
        <v>4</v>
      </c>
      <c r="P19" s="55" t="s">
        <v>19</v>
      </c>
      <c r="R19" s="54" t="s">
        <v>4</v>
      </c>
      <c r="S19" s="55" t="s">
        <v>19</v>
      </c>
      <c r="U19" s="58" t="s">
        <v>146</v>
      </c>
      <c r="V19" s="58" t="s">
        <v>19</v>
      </c>
    </row>
    <row r="20" spans="2:22" x14ac:dyDescent="0.45">
      <c r="B20" s="109">
        <f>Input!C5</f>
        <v>0</v>
      </c>
      <c r="C20" s="56">
        <f>SUM((IF(B20&gt;$C$8,B20-$C$8-$C$7,-$C$7)*$C$6),IF(B20&gt;$C$11,$C$11-B20+$C$10,$C$10))</f>
        <v>-4.5800250811597962</v>
      </c>
      <c r="O20" s="109">
        <f>Input!C5</f>
        <v>0</v>
      </c>
      <c r="P20" s="56">
        <f>IF(O20&gt;$P$8,O20-$P$8-$P$7,-$P$7)*$P$6</f>
        <v>-12.254654815049207</v>
      </c>
      <c r="R20" s="109">
        <f>Input!C5</f>
        <v>0</v>
      </c>
      <c r="S20" s="56">
        <f>IF(R20&gt;$S$11,$S$11-$R20+$S$10,$S$10)*$S$9</f>
        <v>7.6746297338894109</v>
      </c>
      <c r="U20" s="69">
        <f t="shared" ref="U20:U48" si="2">C20-V20</f>
        <v>0</v>
      </c>
      <c r="V20" s="56">
        <f>P20+S20</f>
        <v>-4.5800250811597962</v>
      </c>
    </row>
    <row r="21" spans="2:22" x14ac:dyDescent="0.45">
      <c r="B21" s="109">
        <f>Input!C6</f>
        <v>5</v>
      </c>
      <c r="C21" s="56">
        <f t="shared" ref="C21:C48" si="3">SUM((IF(B21&gt;$C$8,B21-$C$8-$C$7,-$C$7)*$C$6),IF(B21&gt;$C$11,$C$11-B21+$C$10,$C$10))</f>
        <v>-4.5800250811597962</v>
      </c>
      <c r="O21" s="109">
        <f>Input!C6</f>
        <v>5</v>
      </c>
      <c r="P21" s="56">
        <f t="shared" ref="P21:P48" si="4">IF(O21&gt;$P$8,O21-$P$8-$P$7,-$P$7)*$P$6</f>
        <v>-12.254654815049207</v>
      </c>
      <c r="R21" s="109">
        <f>Input!C6</f>
        <v>5</v>
      </c>
      <c r="S21" s="56">
        <f t="shared" ref="S21:S48" si="5">IF(R21&gt;$S$11,$S$11-$R21+$S$10,$S$10)*$S$9</f>
        <v>7.6746297338894109</v>
      </c>
      <c r="U21" s="69">
        <f t="shared" si="2"/>
        <v>0</v>
      </c>
      <c r="V21" s="56">
        <f t="shared" ref="V21:V48" si="6">P21+S21</f>
        <v>-4.5800250811597962</v>
      </c>
    </row>
    <row r="22" spans="2:22" x14ac:dyDescent="0.45">
      <c r="B22" s="109">
        <f>Input!C7</f>
        <v>10</v>
      </c>
      <c r="C22" s="56">
        <f t="shared" si="3"/>
        <v>-4.5800250811597962</v>
      </c>
      <c r="O22" s="109">
        <f>Input!C7</f>
        <v>10</v>
      </c>
      <c r="P22" s="56">
        <f t="shared" si="4"/>
        <v>-12.254654815049207</v>
      </c>
      <c r="R22" s="109">
        <f>Input!C7</f>
        <v>10</v>
      </c>
      <c r="S22" s="56">
        <f t="shared" si="5"/>
        <v>7.6746297338894109</v>
      </c>
      <c r="U22" s="69">
        <f t="shared" si="2"/>
        <v>0</v>
      </c>
      <c r="V22" s="56">
        <f t="shared" si="6"/>
        <v>-4.5800250811597962</v>
      </c>
    </row>
    <row r="23" spans="2:22" x14ac:dyDescent="0.45">
      <c r="B23" s="109">
        <f>Input!C8</f>
        <v>15</v>
      </c>
      <c r="C23" s="56">
        <f t="shared" si="3"/>
        <v>-4.5800250811597962</v>
      </c>
      <c r="O23" s="109">
        <f>Input!C8</f>
        <v>15</v>
      </c>
      <c r="P23" s="56">
        <f t="shared" si="4"/>
        <v>-12.254654815049207</v>
      </c>
      <c r="R23" s="109">
        <f>Input!C8</f>
        <v>15</v>
      </c>
      <c r="S23" s="56">
        <f t="shared" si="5"/>
        <v>7.6746297338894109</v>
      </c>
      <c r="U23" s="69">
        <f t="shared" si="2"/>
        <v>0</v>
      </c>
      <c r="V23" s="56">
        <f t="shared" si="6"/>
        <v>-4.5800250811597962</v>
      </c>
    </row>
    <row r="24" spans="2:22" x14ac:dyDescent="0.45">
      <c r="B24" s="109">
        <f>Input!C9</f>
        <v>20</v>
      </c>
      <c r="C24" s="56">
        <f t="shared" si="3"/>
        <v>-4.5800250811597962</v>
      </c>
      <c r="O24" s="109">
        <f>Input!C9</f>
        <v>20</v>
      </c>
      <c r="P24" s="56">
        <f t="shared" si="4"/>
        <v>-12.254654815049207</v>
      </c>
      <c r="R24" s="109">
        <f>Input!C9</f>
        <v>20</v>
      </c>
      <c r="S24" s="56">
        <f t="shared" si="5"/>
        <v>7.6746297338894109</v>
      </c>
      <c r="U24" s="69">
        <f t="shared" si="2"/>
        <v>0</v>
      </c>
      <c r="V24" s="56">
        <f t="shared" si="6"/>
        <v>-4.5800250811597962</v>
      </c>
    </row>
    <row r="25" spans="2:22" x14ac:dyDescent="0.45">
      <c r="B25" s="109">
        <f>Input!C10</f>
        <v>25</v>
      </c>
      <c r="C25" s="56">
        <f t="shared" si="3"/>
        <v>-4.5800250811597962</v>
      </c>
      <c r="O25" s="109">
        <f>Input!C10</f>
        <v>25</v>
      </c>
      <c r="P25" s="56">
        <f t="shared" si="4"/>
        <v>-12.254654815049207</v>
      </c>
      <c r="R25" s="109">
        <f>Input!C10</f>
        <v>25</v>
      </c>
      <c r="S25" s="56">
        <f t="shared" si="5"/>
        <v>7.6746297338894109</v>
      </c>
      <c r="U25" s="69">
        <f>C25-V25</f>
        <v>0</v>
      </c>
      <c r="V25" s="56">
        <f t="shared" si="6"/>
        <v>-4.5800250811597962</v>
      </c>
    </row>
    <row r="26" spans="2:22" x14ac:dyDescent="0.45">
      <c r="B26" s="109">
        <f>Input!C11</f>
        <v>30</v>
      </c>
      <c r="C26" s="56">
        <f t="shared" si="3"/>
        <v>-4.5800250811597962</v>
      </c>
      <c r="O26" s="109">
        <f>Input!C11</f>
        <v>30</v>
      </c>
      <c r="P26" s="56">
        <f t="shared" si="4"/>
        <v>-12.254654815049207</v>
      </c>
      <c r="R26" s="109">
        <f>Input!C11</f>
        <v>30</v>
      </c>
      <c r="S26" s="56">
        <f t="shared" si="5"/>
        <v>7.6746297338894109</v>
      </c>
      <c r="U26" s="69">
        <f t="shared" si="2"/>
        <v>0</v>
      </c>
      <c r="V26" s="56">
        <f t="shared" si="6"/>
        <v>-4.5800250811597962</v>
      </c>
    </row>
    <row r="27" spans="2:22" x14ac:dyDescent="0.45">
      <c r="B27" s="109">
        <f>Input!C12</f>
        <v>35</v>
      </c>
      <c r="C27" s="56">
        <f t="shared" si="3"/>
        <v>-4.5800250811597962</v>
      </c>
      <c r="O27" s="109">
        <f>Input!C12</f>
        <v>35</v>
      </c>
      <c r="P27" s="56">
        <f t="shared" si="4"/>
        <v>-12.254654815049207</v>
      </c>
      <c r="R27" s="109">
        <f>Input!C12</f>
        <v>35</v>
      </c>
      <c r="S27" s="56">
        <f t="shared" si="5"/>
        <v>7.6746297338894109</v>
      </c>
      <c r="U27" s="69">
        <f t="shared" si="2"/>
        <v>0</v>
      </c>
      <c r="V27" s="56">
        <f t="shared" si="6"/>
        <v>-4.5800250811597962</v>
      </c>
    </row>
    <row r="28" spans="2:22" x14ac:dyDescent="0.45">
      <c r="B28" s="109">
        <f>Input!C13</f>
        <v>40</v>
      </c>
      <c r="C28" s="56">
        <f t="shared" si="3"/>
        <v>-4.5800250811597962</v>
      </c>
      <c r="O28" s="109">
        <f>Input!C13</f>
        <v>40</v>
      </c>
      <c r="P28" s="56">
        <f t="shared" si="4"/>
        <v>-12.254654815049207</v>
      </c>
      <c r="R28" s="109">
        <f>Input!C13</f>
        <v>40</v>
      </c>
      <c r="S28" s="56">
        <f t="shared" si="5"/>
        <v>7.6746297338894109</v>
      </c>
      <c r="U28" s="69">
        <f t="shared" si="2"/>
        <v>0</v>
      </c>
      <c r="V28" s="56">
        <f t="shared" si="6"/>
        <v>-4.5800250811597962</v>
      </c>
    </row>
    <row r="29" spans="2:22" x14ac:dyDescent="0.45">
      <c r="B29" s="109">
        <f>Input!C14</f>
        <v>45</v>
      </c>
      <c r="C29" s="56">
        <f t="shared" si="3"/>
        <v>-4.5800250811597962</v>
      </c>
      <c r="O29" s="109">
        <f>Input!C14</f>
        <v>45</v>
      </c>
      <c r="P29" s="56">
        <f t="shared" si="4"/>
        <v>-12.254654815049207</v>
      </c>
      <c r="R29" s="109">
        <f>Input!C14</f>
        <v>45</v>
      </c>
      <c r="S29" s="56">
        <f t="shared" si="5"/>
        <v>7.6746297338894109</v>
      </c>
      <c r="U29" s="69">
        <f t="shared" si="2"/>
        <v>0</v>
      </c>
      <c r="V29" s="56">
        <f t="shared" si="6"/>
        <v>-4.5800250811597962</v>
      </c>
    </row>
    <row r="30" spans="2:22" x14ac:dyDescent="0.45">
      <c r="B30" s="109">
        <f>Input!C15</f>
        <v>50</v>
      </c>
      <c r="C30" s="56">
        <f t="shared" si="3"/>
        <v>-4.5800250811597962</v>
      </c>
      <c r="O30" s="109">
        <f>Input!C15</f>
        <v>50</v>
      </c>
      <c r="P30" s="56">
        <f t="shared" si="4"/>
        <v>-12.254654815049207</v>
      </c>
      <c r="R30" s="109">
        <f>Input!C15</f>
        <v>50</v>
      </c>
      <c r="S30" s="56">
        <f t="shared" si="5"/>
        <v>7.6746297338894109</v>
      </c>
      <c r="U30" s="69">
        <f t="shared" si="2"/>
        <v>0</v>
      </c>
      <c r="V30" s="56">
        <f t="shared" si="6"/>
        <v>-4.5800250811597962</v>
      </c>
    </row>
    <row r="31" spans="2:22" x14ac:dyDescent="0.45">
      <c r="B31" s="109">
        <f>Input!C16</f>
        <v>55</v>
      </c>
      <c r="C31" s="56">
        <f t="shared" si="3"/>
        <v>-4.5800250811597962</v>
      </c>
      <c r="O31" s="109">
        <f>Input!C16</f>
        <v>55</v>
      </c>
      <c r="P31" s="56">
        <f t="shared" si="4"/>
        <v>-12.254654815049207</v>
      </c>
      <c r="R31" s="109">
        <f>Input!C16</f>
        <v>55</v>
      </c>
      <c r="S31" s="56">
        <f t="shared" si="5"/>
        <v>7.6746297338894109</v>
      </c>
      <c r="U31" s="69">
        <f t="shared" si="2"/>
        <v>0</v>
      </c>
      <c r="V31" s="56">
        <f t="shared" si="6"/>
        <v>-4.5800250811597962</v>
      </c>
    </row>
    <row r="32" spans="2:22" x14ac:dyDescent="0.45">
      <c r="B32" s="109">
        <f>Input!C17</f>
        <v>60</v>
      </c>
      <c r="C32" s="56">
        <f t="shared" si="3"/>
        <v>-4.5800250811597962</v>
      </c>
      <c r="O32" s="109">
        <f>Input!C17</f>
        <v>60</v>
      </c>
      <c r="P32" s="56">
        <f t="shared" si="4"/>
        <v>-12.254654815049207</v>
      </c>
      <c r="R32" s="109">
        <f>Input!C17</f>
        <v>60</v>
      </c>
      <c r="S32" s="56">
        <f t="shared" si="5"/>
        <v>7.6746297338894109</v>
      </c>
      <c r="U32" s="69">
        <f t="shared" si="2"/>
        <v>0</v>
      </c>
      <c r="V32" s="56">
        <f t="shared" si="6"/>
        <v>-4.5800250811597962</v>
      </c>
    </row>
    <row r="33" spans="2:22" x14ac:dyDescent="0.45">
      <c r="B33" s="109">
        <f>Input!C18</f>
        <v>65</v>
      </c>
      <c r="C33" s="56">
        <f t="shared" si="3"/>
        <v>-4.5800250811597962</v>
      </c>
      <c r="O33" s="109">
        <f>Input!C18</f>
        <v>65</v>
      </c>
      <c r="P33" s="56">
        <f t="shared" si="4"/>
        <v>-12.254654815049207</v>
      </c>
      <c r="R33" s="109">
        <f>Input!C18</f>
        <v>65</v>
      </c>
      <c r="S33" s="56">
        <f t="shared" si="5"/>
        <v>7.6746297338894109</v>
      </c>
      <c r="U33" s="69">
        <f t="shared" si="2"/>
        <v>0</v>
      </c>
      <c r="V33" s="56">
        <f t="shared" si="6"/>
        <v>-4.5800250811597962</v>
      </c>
    </row>
    <row r="34" spans="2:22" x14ac:dyDescent="0.45">
      <c r="B34" s="109">
        <f>Input!C19</f>
        <v>70</v>
      </c>
      <c r="C34" s="56">
        <f t="shared" si="3"/>
        <v>-6.5800250811597962</v>
      </c>
      <c r="O34" s="109">
        <f>Input!C19</f>
        <v>70</v>
      </c>
      <c r="P34" s="56">
        <f t="shared" si="4"/>
        <v>-12.254654815049207</v>
      </c>
      <c r="R34" s="109">
        <f>Input!C19</f>
        <v>70</v>
      </c>
      <c r="S34" s="56">
        <f t="shared" si="5"/>
        <v>5.6746297338894109</v>
      </c>
      <c r="U34" s="69">
        <f t="shared" si="2"/>
        <v>0</v>
      </c>
      <c r="V34" s="56">
        <f t="shared" si="6"/>
        <v>-6.5800250811597962</v>
      </c>
    </row>
    <row r="35" spans="2:22" x14ac:dyDescent="0.45">
      <c r="B35" s="109">
        <f>Input!C20</f>
        <v>75</v>
      </c>
      <c r="C35" s="56">
        <f t="shared" si="3"/>
        <v>-5.5800250811597962</v>
      </c>
      <c r="O35" s="109">
        <f>Input!C20</f>
        <v>75</v>
      </c>
      <c r="P35" s="56">
        <f t="shared" si="4"/>
        <v>-6.2546548150492072</v>
      </c>
      <c r="R35" s="109">
        <f>Input!C20</f>
        <v>75</v>
      </c>
      <c r="S35" s="56">
        <f t="shared" si="5"/>
        <v>0.67462973388941094</v>
      </c>
      <c r="U35" s="69">
        <f>C35-V35</f>
        <v>0</v>
      </c>
      <c r="V35" s="56">
        <f t="shared" si="6"/>
        <v>-5.5800250811597962</v>
      </c>
    </row>
    <row r="36" spans="2:22" x14ac:dyDescent="0.45">
      <c r="B36" s="109">
        <f>Input!C21</f>
        <v>80</v>
      </c>
      <c r="C36" s="56">
        <f t="shared" si="3"/>
        <v>-0.58002508115979623</v>
      </c>
      <c r="O36" s="109">
        <f>Input!C21</f>
        <v>80</v>
      </c>
      <c r="P36" s="56">
        <f>IF(O36&gt;$P$8,O36-$P$8-$P$7,-$P$7)*$P$6</f>
        <v>3.7453451849507928</v>
      </c>
      <c r="R36" s="109">
        <f>Input!C21</f>
        <v>80</v>
      </c>
      <c r="S36" s="56">
        <f t="shared" si="5"/>
        <v>-4.3253702661105891</v>
      </c>
      <c r="U36" s="69">
        <f t="shared" si="2"/>
        <v>0</v>
      </c>
      <c r="V36" s="56">
        <f t="shared" si="6"/>
        <v>-0.58002508115979623</v>
      </c>
    </row>
    <row r="37" spans="2:22" x14ac:dyDescent="0.45">
      <c r="B37" s="109">
        <f>Input!C22</f>
        <v>85</v>
      </c>
      <c r="C37" s="56">
        <f t="shared" si="3"/>
        <v>4.4199749188402038</v>
      </c>
      <c r="O37" s="109">
        <f>Input!C22</f>
        <v>85</v>
      </c>
      <c r="P37" s="56">
        <f t="shared" si="4"/>
        <v>13.745345184950793</v>
      </c>
      <c r="R37" s="109">
        <f>Input!C22</f>
        <v>85</v>
      </c>
      <c r="S37" s="56">
        <f t="shared" si="5"/>
        <v>-9.3253702661105891</v>
      </c>
      <c r="U37" s="69">
        <f t="shared" si="2"/>
        <v>0</v>
      </c>
      <c r="V37" s="56">
        <f t="shared" si="6"/>
        <v>4.4199749188402038</v>
      </c>
    </row>
    <row r="38" spans="2:22" x14ac:dyDescent="0.45">
      <c r="B38" s="109">
        <f>Input!C23</f>
        <v>90</v>
      </c>
      <c r="C38" s="56">
        <f t="shared" si="3"/>
        <v>9.4199749188402038</v>
      </c>
      <c r="O38" s="109">
        <f>Input!C23</f>
        <v>90</v>
      </c>
      <c r="P38" s="56">
        <f t="shared" si="4"/>
        <v>23.745345184950793</v>
      </c>
      <c r="R38" s="109">
        <f>Input!C23</f>
        <v>90</v>
      </c>
      <c r="S38" s="56">
        <f t="shared" si="5"/>
        <v>-14.325370266110589</v>
      </c>
      <c r="U38" s="69">
        <f t="shared" si="2"/>
        <v>0</v>
      </c>
      <c r="V38" s="56">
        <f t="shared" si="6"/>
        <v>9.4199749188402038</v>
      </c>
    </row>
    <row r="39" spans="2:22" x14ac:dyDescent="0.45">
      <c r="B39" s="109">
        <f>Input!C24</f>
        <v>95</v>
      </c>
      <c r="C39" s="56">
        <f t="shared" si="3"/>
        <v>14.419974918840204</v>
      </c>
      <c r="O39" s="109">
        <f>Input!C24</f>
        <v>95</v>
      </c>
      <c r="P39" s="56">
        <f t="shared" si="4"/>
        <v>33.745345184950793</v>
      </c>
      <c r="R39" s="109">
        <f>Input!C24</f>
        <v>95</v>
      </c>
      <c r="S39" s="56">
        <f t="shared" si="5"/>
        <v>-19.325370266110589</v>
      </c>
      <c r="U39" s="69">
        <f t="shared" si="2"/>
        <v>0</v>
      </c>
      <c r="V39" s="56">
        <f t="shared" si="6"/>
        <v>14.419974918840204</v>
      </c>
    </row>
    <row r="40" spans="2:22" x14ac:dyDescent="0.45">
      <c r="B40" s="109">
        <f>Input!C25</f>
        <v>100</v>
      </c>
      <c r="C40" s="56">
        <f t="shared" si="3"/>
        <v>19.419974918840204</v>
      </c>
      <c r="O40" s="109">
        <f>Input!C25</f>
        <v>100</v>
      </c>
      <c r="P40" s="56">
        <f t="shared" si="4"/>
        <v>43.745345184950793</v>
      </c>
      <c r="R40" s="109">
        <f>Input!C25</f>
        <v>100</v>
      </c>
      <c r="S40" s="56">
        <f t="shared" si="5"/>
        <v>-24.325370266110589</v>
      </c>
      <c r="U40" s="69">
        <f t="shared" si="2"/>
        <v>0</v>
      </c>
      <c r="V40" s="56">
        <f t="shared" si="6"/>
        <v>19.419974918840204</v>
      </c>
    </row>
    <row r="41" spans="2:22" x14ac:dyDescent="0.45">
      <c r="B41" s="109">
        <f>Input!C26</f>
        <v>105</v>
      </c>
      <c r="C41" s="56">
        <f t="shared" si="3"/>
        <v>24.419974918840204</v>
      </c>
      <c r="O41" s="109">
        <f>Input!C26</f>
        <v>105</v>
      </c>
      <c r="P41" s="56">
        <f t="shared" si="4"/>
        <v>53.745345184950793</v>
      </c>
      <c r="R41" s="109">
        <f>Input!C26</f>
        <v>105</v>
      </c>
      <c r="S41" s="56">
        <f t="shared" si="5"/>
        <v>-29.325370266110589</v>
      </c>
      <c r="U41" s="69">
        <f t="shared" si="2"/>
        <v>0</v>
      </c>
      <c r="V41" s="56">
        <f t="shared" si="6"/>
        <v>24.419974918840204</v>
      </c>
    </row>
    <row r="42" spans="2:22" x14ac:dyDescent="0.45">
      <c r="B42" s="109">
        <f>Input!C27</f>
        <v>110</v>
      </c>
      <c r="C42" s="56">
        <f t="shared" si="3"/>
        <v>29.419974918840204</v>
      </c>
      <c r="O42" s="109">
        <f>Input!C27</f>
        <v>110</v>
      </c>
      <c r="P42" s="56">
        <f t="shared" si="4"/>
        <v>63.745345184950793</v>
      </c>
      <c r="R42" s="109">
        <f>Input!C27</f>
        <v>110</v>
      </c>
      <c r="S42" s="56">
        <f t="shared" si="5"/>
        <v>-34.325370266110589</v>
      </c>
      <c r="U42" s="69">
        <f t="shared" si="2"/>
        <v>0</v>
      </c>
      <c r="V42" s="56">
        <f t="shared" si="6"/>
        <v>29.419974918840204</v>
      </c>
    </row>
    <row r="43" spans="2:22" x14ac:dyDescent="0.45">
      <c r="B43" s="109">
        <f>Input!C28</f>
        <v>115</v>
      </c>
      <c r="C43" s="56">
        <f t="shared" si="3"/>
        <v>34.419974918840204</v>
      </c>
      <c r="O43" s="109">
        <f>Input!C28</f>
        <v>115</v>
      </c>
      <c r="P43" s="56">
        <f t="shared" si="4"/>
        <v>73.745345184950793</v>
      </c>
      <c r="R43" s="109">
        <f>Input!C28</f>
        <v>115</v>
      </c>
      <c r="S43" s="56">
        <f t="shared" si="5"/>
        <v>-39.325370266110589</v>
      </c>
      <c r="U43" s="69">
        <f t="shared" si="2"/>
        <v>0</v>
      </c>
      <c r="V43" s="56">
        <f t="shared" si="6"/>
        <v>34.419974918840204</v>
      </c>
    </row>
    <row r="44" spans="2:22" x14ac:dyDescent="0.45">
      <c r="B44" s="109">
        <f>Input!C29</f>
        <v>120</v>
      </c>
      <c r="C44" s="56">
        <f t="shared" si="3"/>
        <v>39.419974918840204</v>
      </c>
      <c r="O44" s="109">
        <f>Input!C29</f>
        <v>120</v>
      </c>
      <c r="P44" s="56">
        <f t="shared" si="4"/>
        <v>83.745345184950793</v>
      </c>
      <c r="R44" s="109">
        <f>Input!C29</f>
        <v>120</v>
      </c>
      <c r="S44" s="56">
        <f t="shared" si="5"/>
        <v>-44.325370266110589</v>
      </c>
      <c r="U44" s="69">
        <f t="shared" si="2"/>
        <v>0</v>
      </c>
      <c r="V44" s="56">
        <f t="shared" si="6"/>
        <v>39.419974918840204</v>
      </c>
    </row>
    <row r="45" spans="2:22" x14ac:dyDescent="0.45">
      <c r="B45" s="109">
        <f>Input!C30</f>
        <v>125</v>
      </c>
      <c r="C45" s="56">
        <f t="shared" si="3"/>
        <v>44.419974918840204</v>
      </c>
      <c r="O45" s="109">
        <f>Input!C30</f>
        <v>125</v>
      </c>
      <c r="P45" s="56">
        <f t="shared" si="4"/>
        <v>93.745345184950793</v>
      </c>
      <c r="R45" s="109">
        <f>Input!C30</f>
        <v>125</v>
      </c>
      <c r="S45" s="56">
        <f t="shared" si="5"/>
        <v>-49.325370266110589</v>
      </c>
      <c r="U45" s="69">
        <f t="shared" si="2"/>
        <v>0</v>
      </c>
      <c r="V45" s="56">
        <f t="shared" si="6"/>
        <v>44.419974918840204</v>
      </c>
    </row>
    <row r="46" spans="2:22" x14ac:dyDescent="0.45">
      <c r="B46" s="109">
        <f>Input!C31</f>
        <v>130</v>
      </c>
      <c r="C46" s="56">
        <f t="shared" si="3"/>
        <v>49.419974918840204</v>
      </c>
      <c r="O46" s="109">
        <f>Input!C31</f>
        <v>130</v>
      </c>
      <c r="P46" s="56">
        <f t="shared" si="4"/>
        <v>103.74534518495079</v>
      </c>
      <c r="R46" s="109">
        <f>Input!C31</f>
        <v>130</v>
      </c>
      <c r="S46" s="56">
        <f t="shared" si="5"/>
        <v>-54.325370266110589</v>
      </c>
      <c r="U46" s="69">
        <f t="shared" si="2"/>
        <v>0</v>
      </c>
      <c r="V46" s="56">
        <f t="shared" si="6"/>
        <v>49.419974918840204</v>
      </c>
    </row>
    <row r="47" spans="2:22" x14ac:dyDescent="0.45">
      <c r="B47" s="109">
        <f>Input!C32</f>
        <v>135</v>
      </c>
      <c r="C47" s="56">
        <f t="shared" si="3"/>
        <v>54.419974918840204</v>
      </c>
      <c r="O47" s="109">
        <f>Input!C32</f>
        <v>135</v>
      </c>
      <c r="P47" s="56">
        <f t="shared" si="4"/>
        <v>113.74534518495079</v>
      </c>
      <c r="R47" s="109">
        <f>Input!C32</f>
        <v>135</v>
      </c>
      <c r="S47" s="56">
        <f t="shared" si="5"/>
        <v>-59.325370266110589</v>
      </c>
      <c r="U47" s="69">
        <f t="shared" si="2"/>
        <v>0</v>
      </c>
      <c r="V47" s="56">
        <f t="shared" si="6"/>
        <v>54.419974918840204</v>
      </c>
    </row>
    <row r="48" spans="2:22" x14ac:dyDescent="0.45">
      <c r="B48" s="110">
        <f>Input!C33</f>
        <v>140</v>
      </c>
      <c r="C48" s="57">
        <f t="shared" si="3"/>
        <v>59.419974918840211</v>
      </c>
      <c r="O48" s="110">
        <f>Input!C33</f>
        <v>140</v>
      </c>
      <c r="P48" s="57">
        <f t="shared" si="4"/>
        <v>123.74534518495079</v>
      </c>
      <c r="R48" s="110">
        <f>Input!C33</f>
        <v>140</v>
      </c>
      <c r="S48" s="57">
        <f t="shared" si="5"/>
        <v>-64.325370266110582</v>
      </c>
      <c r="U48" s="70">
        <f t="shared" si="2"/>
        <v>0</v>
      </c>
      <c r="V48" s="57">
        <f t="shared" si="6"/>
        <v>59.419974918840211</v>
      </c>
    </row>
    <row r="50" spans="2:3" x14ac:dyDescent="0.45">
      <c r="B50" s="296" t="s">
        <v>262</v>
      </c>
      <c r="C50" s="297">
        <f>C10-(C6*C7)</f>
        <v>-4.5800250811597962</v>
      </c>
    </row>
  </sheetData>
  <conditionalFormatting sqref="A1:N2 A5:B5 D5:N5 A6:N12 A49:N49 A13:A48 D13:N48 Q1:Q1048576 T1:T1048576 W1:XFD1048576 A4:N4 A3 C3:N3 B19:C48 A51:N1048576 A50 D50:N50">
    <cfRule type="containsBlanks" dxfId="375" priority="27">
      <formula>LEN(TRIM(A1))=0</formula>
    </cfRule>
  </conditionalFormatting>
  <conditionalFormatting sqref="B13:C18">
    <cfRule type="containsBlanks" dxfId="374" priority="26">
      <formula>LEN(TRIM(B13))=0</formula>
    </cfRule>
  </conditionalFormatting>
  <conditionalFormatting sqref="O1:P2 O6:P8 O19:P1048576">
    <cfRule type="containsBlanks" dxfId="373" priority="25">
      <formula>LEN(TRIM(O1))=0</formula>
    </cfRule>
  </conditionalFormatting>
  <conditionalFormatting sqref="P3 O4:P4">
    <cfRule type="containsBlanks" dxfId="372" priority="24">
      <formula>LEN(TRIM(O3))=0</formula>
    </cfRule>
  </conditionalFormatting>
  <conditionalFormatting sqref="O5">
    <cfRule type="containsBlanks" dxfId="371" priority="23">
      <formula>LEN(TRIM(O5))=0</formula>
    </cfRule>
  </conditionalFormatting>
  <conditionalFormatting sqref="O3">
    <cfRule type="containsBlanks" dxfId="370" priority="22">
      <formula>LEN(TRIM(O3))=0</formula>
    </cfRule>
  </conditionalFormatting>
  <conditionalFormatting sqref="O9:P11">
    <cfRule type="containsBlanks" dxfId="369" priority="21">
      <formula>LEN(TRIM(O9))=0</formula>
    </cfRule>
  </conditionalFormatting>
  <conditionalFormatting sqref="R1:S2 R19:S1048576">
    <cfRule type="containsBlanks" dxfId="368" priority="20">
      <formula>LEN(TRIM(R1))=0</formula>
    </cfRule>
  </conditionalFormatting>
  <conditionalFormatting sqref="S3 R4:S4">
    <cfRule type="containsBlanks" dxfId="367" priority="19">
      <formula>LEN(TRIM(R3))=0</formula>
    </cfRule>
  </conditionalFormatting>
  <conditionalFormatting sqref="R3">
    <cfRule type="containsBlanks" dxfId="366" priority="17">
      <formula>LEN(TRIM(R3))=0</formula>
    </cfRule>
  </conditionalFormatting>
  <conditionalFormatting sqref="R5">
    <cfRule type="containsBlanks" dxfId="365" priority="15">
      <formula>LEN(TRIM(R5))=0</formula>
    </cfRule>
  </conditionalFormatting>
  <conditionalFormatting sqref="R9:S11">
    <cfRule type="containsBlanks" dxfId="364" priority="14">
      <formula>LEN(TRIM(R9))=0</formula>
    </cfRule>
  </conditionalFormatting>
  <conditionalFormatting sqref="U1:V1 U49:V1048576 V42:V48">
    <cfRule type="containsBlanks" dxfId="363" priority="13">
      <formula>LEN(TRIM(U1))=0</formula>
    </cfRule>
  </conditionalFormatting>
  <conditionalFormatting sqref="U4:V4">
    <cfRule type="containsBlanks" dxfId="362" priority="7">
      <formula>LEN(TRIM(U4))=0</formula>
    </cfRule>
  </conditionalFormatting>
  <conditionalFormatting sqref="U6:V11 U2:V3 V19:V48">
    <cfRule type="containsBlanks" dxfId="361" priority="12">
      <formula>LEN(TRIM(U2))=0</formula>
    </cfRule>
  </conditionalFormatting>
  <conditionalFormatting sqref="V19">
    <cfRule type="containsBlanks" dxfId="360" priority="11">
      <formula>LEN(TRIM(V19))=0</formula>
    </cfRule>
  </conditionalFormatting>
  <conditionalFormatting sqref="U19">
    <cfRule type="containsBlanks" dxfId="359" priority="10">
      <formula>LEN(TRIM(U19))=0</formula>
    </cfRule>
  </conditionalFormatting>
  <conditionalFormatting sqref="V20:V48">
    <cfRule type="containsBlanks" dxfId="358" priority="9">
      <formula>LEN(TRIM(V20))=0</formula>
    </cfRule>
  </conditionalFormatting>
  <conditionalFormatting sqref="U5:V5">
    <cfRule type="containsBlanks" dxfId="357" priority="8">
      <formula>LEN(TRIM(U5))=0</formula>
    </cfRule>
  </conditionalFormatting>
  <conditionalFormatting sqref="B3">
    <cfRule type="containsBlanks" dxfId="356" priority="6">
      <formula>LEN(TRIM(B3))=0</formula>
    </cfRule>
  </conditionalFormatting>
  <conditionalFormatting sqref="U20:U48">
    <cfRule type="containsBlanks" dxfId="355" priority="5">
      <formula>LEN(TRIM(U20))=0</formula>
    </cfRule>
  </conditionalFormatting>
  <conditionalFormatting sqref="B50">
    <cfRule type="containsBlanks" dxfId="354" priority="2">
      <formula>LEN(TRIM(B50))=0</formula>
    </cfRule>
  </conditionalFormatting>
  <conditionalFormatting sqref="C50">
    <cfRule type="containsBlanks" dxfId="353" priority="1">
      <formula>LEN(TRIM(C50))=0</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sheetPr>
  <dimension ref="B3:C50"/>
  <sheetViews>
    <sheetView zoomScale="73" zoomScaleNormal="73" workbookViewId="0">
      <selection activeCell="S36" sqref="S36"/>
    </sheetView>
  </sheetViews>
  <sheetFormatPr baseColWidth="10" defaultColWidth="9.1328125" defaultRowHeight="14.25" x14ac:dyDescent="0.45"/>
  <cols>
    <col min="2" max="2" width="30.1328125" bestFit="1" customWidth="1"/>
  </cols>
  <sheetData>
    <row r="3" spans="2:3" ht="15.75" x14ac:dyDescent="0.5">
      <c r="B3" s="112" t="s">
        <v>112</v>
      </c>
    </row>
    <row r="4" spans="2:3" ht="14.65" thickBot="1" x14ac:dyDescent="0.5"/>
    <row r="5" spans="2:3" x14ac:dyDescent="0.45">
      <c r="B5" s="2" t="s">
        <v>0</v>
      </c>
      <c r="C5" s="7"/>
    </row>
    <row r="6" spans="2:3" x14ac:dyDescent="0.45">
      <c r="B6" s="3" t="s">
        <v>32</v>
      </c>
      <c r="C6" s="101">
        <f>Input!C59</f>
        <v>1</v>
      </c>
    </row>
    <row r="7" spans="2:3" x14ac:dyDescent="0.45">
      <c r="B7" s="3" t="s">
        <v>45</v>
      </c>
      <c r="C7" s="101">
        <f>Input!C42</f>
        <v>70</v>
      </c>
    </row>
    <row r="8" spans="2:3" x14ac:dyDescent="0.45">
      <c r="B8" s="31" t="s">
        <v>46</v>
      </c>
      <c r="C8" s="103">
        <f>Input!C63</f>
        <v>1</v>
      </c>
    </row>
    <row r="9" spans="2:3" x14ac:dyDescent="0.45">
      <c r="B9" s="31" t="s">
        <v>47</v>
      </c>
      <c r="C9" s="103">
        <f>'Ableitung Optionspreise'!I27</f>
        <v>9.4822794113231978</v>
      </c>
    </row>
    <row r="10" spans="2:3" ht="14.65" thickBot="1" x14ac:dyDescent="0.5">
      <c r="B10" s="6" t="s">
        <v>48</v>
      </c>
      <c r="C10" s="111">
        <f>Input!C44</f>
        <v>70</v>
      </c>
    </row>
    <row r="19" spans="2:3" x14ac:dyDescent="0.45">
      <c r="B19" s="54" t="s">
        <v>4</v>
      </c>
      <c r="C19" s="55" t="s">
        <v>19</v>
      </c>
    </row>
    <row r="20" spans="2:3" x14ac:dyDescent="0.45">
      <c r="B20" s="109">
        <f>Input!C5</f>
        <v>0</v>
      </c>
      <c r="C20" s="56">
        <f t="shared" ref="C20:C48" si="0">SUM((C$7-B20)*$C$6,IF(B20&lt;$C$10,B20-$C$10+$C$9,$C$9)*$C$8)</f>
        <v>9.4822794113231978</v>
      </c>
    </row>
    <row r="21" spans="2:3" x14ac:dyDescent="0.45">
      <c r="B21" s="109">
        <f>Input!C6</f>
        <v>5</v>
      </c>
      <c r="C21" s="56">
        <f t="shared" si="0"/>
        <v>9.4822794113231978</v>
      </c>
    </row>
    <row r="22" spans="2:3" x14ac:dyDescent="0.45">
      <c r="B22" s="109">
        <f>Input!C7</f>
        <v>10</v>
      </c>
      <c r="C22" s="56">
        <f t="shared" si="0"/>
        <v>9.4822794113231978</v>
      </c>
    </row>
    <row r="23" spans="2:3" x14ac:dyDescent="0.45">
      <c r="B23" s="109">
        <f>Input!C8</f>
        <v>15</v>
      </c>
      <c r="C23" s="56">
        <f t="shared" si="0"/>
        <v>9.4822794113231978</v>
      </c>
    </row>
    <row r="24" spans="2:3" x14ac:dyDescent="0.45">
      <c r="B24" s="109">
        <f>Input!C9</f>
        <v>20</v>
      </c>
      <c r="C24" s="56">
        <f t="shared" si="0"/>
        <v>9.4822794113231978</v>
      </c>
    </row>
    <row r="25" spans="2:3" x14ac:dyDescent="0.45">
      <c r="B25" s="109">
        <f>Input!C10</f>
        <v>25</v>
      </c>
      <c r="C25" s="56">
        <f t="shared" si="0"/>
        <v>9.4822794113231978</v>
      </c>
    </row>
    <row r="26" spans="2:3" x14ac:dyDescent="0.45">
      <c r="B26" s="109">
        <f>Input!C11</f>
        <v>30</v>
      </c>
      <c r="C26" s="56">
        <f t="shared" si="0"/>
        <v>9.4822794113231978</v>
      </c>
    </row>
    <row r="27" spans="2:3" x14ac:dyDescent="0.45">
      <c r="B27" s="109">
        <f>Input!C12</f>
        <v>35</v>
      </c>
      <c r="C27" s="56">
        <f t="shared" si="0"/>
        <v>9.4822794113231978</v>
      </c>
    </row>
    <row r="28" spans="2:3" x14ac:dyDescent="0.45">
      <c r="B28" s="109">
        <f>Input!C13</f>
        <v>40</v>
      </c>
      <c r="C28" s="56">
        <f t="shared" si="0"/>
        <v>9.4822794113231978</v>
      </c>
    </row>
    <row r="29" spans="2:3" x14ac:dyDescent="0.45">
      <c r="B29" s="109">
        <f>Input!C14</f>
        <v>45</v>
      </c>
      <c r="C29" s="56">
        <f t="shared" si="0"/>
        <v>9.4822794113231978</v>
      </c>
    </row>
    <row r="30" spans="2:3" x14ac:dyDescent="0.45">
      <c r="B30" s="109">
        <f>Input!C15</f>
        <v>50</v>
      </c>
      <c r="C30" s="56">
        <f t="shared" si="0"/>
        <v>9.4822794113231978</v>
      </c>
    </row>
    <row r="31" spans="2:3" x14ac:dyDescent="0.45">
      <c r="B31" s="109">
        <f>Input!C16</f>
        <v>55</v>
      </c>
      <c r="C31" s="56">
        <f t="shared" si="0"/>
        <v>9.4822794113231978</v>
      </c>
    </row>
    <row r="32" spans="2:3" x14ac:dyDescent="0.45">
      <c r="B32" s="109">
        <f>Input!C17</f>
        <v>60</v>
      </c>
      <c r="C32" s="56">
        <f t="shared" si="0"/>
        <v>9.4822794113231978</v>
      </c>
    </row>
    <row r="33" spans="2:3" x14ac:dyDescent="0.45">
      <c r="B33" s="109">
        <f>Input!C18</f>
        <v>65</v>
      </c>
      <c r="C33" s="56">
        <f>SUM((C$7-B33)*$C$6,IF(B33&lt;$C$10,B33-$C$10+$C$9,$C$9)*$C$8)</f>
        <v>9.4822794113231978</v>
      </c>
    </row>
    <row r="34" spans="2:3" x14ac:dyDescent="0.45">
      <c r="B34" s="109">
        <f>Input!C19</f>
        <v>70</v>
      </c>
      <c r="C34" s="56">
        <f t="shared" si="0"/>
        <v>9.4822794113231978</v>
      </c>
    </row>
    <row r="35" spans="2:3" x14ac:dyDescent="0.45">
      <c r="B35" s="109">
        <f>Input!C20</f>
        <v>75</v>
      </c>
      <c r="C35" s="56">
        <f t="shared" si="0"/>
        <v>4.4822794113231978</v>
      </c>
    </row>
    <row r="36" spans="2:3" x14ac:dyDescent="0.45">
      <c r="B36" s="109">
        <f>Input!C21</f>
        <v>80</v>
      </c>
      <c r="C36" s="56">
        <f t="shared" si="0"/>
        <v>-0.51772058867680215</v>
      </c>
    </row>
    <row r="37" spans="2:3" x14ac:dyDescent="0.45">
      <c r="B37" s="109">
        <f>Input!C22</f>
        <v>85</v>
      </c>
      <c r="C37" s="56">
        <f t="shared" si="0"/>
        <v>-5.5177205886768022</v>
      </c>
    </row>
    <row r="38" spans="2:3" x14ac:dyDescent="0.45">
      <c r="B38" s="109">
        <f>Input!C23</f>
        <v>90</v>
      </c>
      <c r="C38" s="56">
        <f t="shared" si="0"/>
        <v>-10.517720588676802</v>
      </c>
    </row>
    <row r="39" spans="2:3" x14ac:dyDescent="0.45">
      <c r="B39" s="109">
        <f>Input!C24</f>
        <v>95</v>
      </c>
      <c r="C39" s="56">
        <f t="shared" si="0"/>
        <v>-15.517720588676802</v>
      </c>
    </row>
    <row r="40" spans="2:3" x14ac:dyDescent="0.45">
      <c r="B40" s="109">
        <f>Input!C25</f>
        <v>100</v>
      </c>
      <c r="C40" s="56">
        <f>SUM((C$7-B40)*$C$6,IF(B40&lt;$C$10,B40-$C$10+$C$9,$C$9)*$C$8)</f>
        <v>-20.517720588676802</v>
      </c>
    </row>
    <row r="41" spans="2:3" x14ac:dyDescent="0.45">
      <c r="B41" s="109">
        <f>Input!C26</f>
        <v>105</v>
      </c>
      <c r="C41" s="56">
        <f t="shared" si="0"/>
        <v>-25.517720588676802</v>
      </c>
    </row>
    <row r="42" spans="2:3" x14ac:dyDescent="0.45">
      <c r="B42" s="109">
        <f>Input!C27</f>
        <v>110</v>
      </c>
      <c r="C42" s="56">
        <f t="shared" si="0"/>
        <v>-30.517720588676802</v>
      </c>
    </row>
    <row r="43" spans="2:3" x14ac:dyDescent="0.45">
      <c r="B43" s="109">
        <f>Input!C28</f>
        <v>115</v>
      </c>
      <c r="C43" s="56">
        <f t="shared" si="0"/>
        <v>-35.517720588676802</v>
      </c>
    </row>
    <row r="44" spans="2:3" x14ac:dyDescent="0.45">
      <c r="B44" s="109">
        <f>Input!C29</f>
        <v>120</v>
      </c>
      <c r="C44" s="56">
        <f t="shared" si="0"/>
        <v>-40.517720588676802</v>
      </c>
    </row>
    <row r="45" spans="2:3" x14ac:dyDescent="0.45">
      <c r="B45" s="109">
        <f>Input!C30</f>
        <v>125</v>
      </c>
      <c r="C45" s="56">
        <f t="shared" si="0"/>
        <v>-45.517720588676802</v>
      </c>
    </row>
    <row r="46" spans="2:3" x14ac:dyDescent="0.45">
      <c r="B46" s="109">
        <f>Input!C31</f>
        <v>130</v>
      </c>
      <c r="C46" s="56">
        <f t="shared" si="0"/>
        <v>-50.517720588676802</v>
      </c>
    </row>
    <row r="47" spans="2:3" x14ac:dyDescent="0.45">
      <c r="B47" s="109">
        <f>Input!C32</f>
        <v>135</v>
      </c>
      <c r="C47" s="56">
        <f t="shared" si="0"/>
        <v>-55.517720588676802</v>
      </c>
    </row>
    <row r="48" spans="2:3" x14ac:dyDescent="0.45">
      <c r="B48" s="110">
        <f>Input!C33</f>
        <v>140</v>
      </c>
      <c r="C48" s="57">
        <f t="shared" si="0"/>
        <v>-60.517720588676802</v>
      </c>
    </row>
    <row r="50" spans="2:3" x14ac:dyDescent="0.45">
      <c r="B50" s="296" t="s">
        <v>262</v>
      </c>
      <c r="C50" s="223">
        <f>C9</f>
        <v>9.4822794113231978</v>
      </c>
    </row>
  </sheetData>
  <conditionalFormatting sqref="A1:XFD4 A5:B5 D5:XFD5 A6:XFD10 A49:XFD49 A11:A48 D11:XFD48 A51:XFD1048576 A50 D50:XFD50 B19:C48">
    <cfRule type="containsBlanks" dxfId="352" priority="5">
      <formula>LEN(TRIM(A1))=0</formula>
    </cfRule>
  </conditionalFormatting>
  <conditionalFormatting sqref="B11:C18">
    <cfRule type="containsBlanks" dxfId="351" priority="4">
      <formula>LEN(TRIM(B11))=0</formula>
    </cfRule>
  </conditionalFormatting>
  <conditionalFormatting sqref="C50">
    <cfRule type="containsBlanks" dxfId="350" priority="3">
      <formula>LEN(TRIM(C50))=0</formula>
    </cfRule>
  </conditionalFormatting>
  <conditionalFormatting sqref="B50">
    <cfRule type="containsBlanks" dxfId="349" priority="1">
      <formula>LEN(TRIM(B50))=0</formula>
    </cfRule>
  </conditionalFormatting>
  <pageMargins left="0.7" right="0.7" top="0.75" bottom="0.75" header="0.3" footer="0.3"/>
  <pageSetup paperSize="9" orientation="portrait" horizontalDpi="0"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4" tint="0.79998168889431442"/>
  </sheetPr>
  <dimension ref="B3:C50"/>
  <sheetViews>
    <sheetView zoomScale="73" zoomScaleNormal="73" workbookViewId="0">
      <selection activeCell="N46" sqref="N46"/>
    </sheetView>
  </sheetViews>
  <sheetFormatPr baseColWidth="10" defaultColWidth="9.1328125" defaultRowHeight="14.25" x14ac:dyDescent="0.45"/>
  <cols>
    <col min="2" max="2" width="27.3984375" bestFit="1" customWidth="1"/>
  </cols>
  <sheetData>
    <row r="3" spans="2:3" ht="15.75" x14ac:dyDescent="0.5">
      <c r="B3" s="112" t="s">
        <v>113</v>
      </c>
    </row>
    <row r="4" spans="2:3" ht="14.65" thickBot="1" x14ac:dyDescent="0.5"/>
    <row r="5" spans="2:3" x14ac:dyDescent="0.45">
      <c r="B5" s="2" t="s">
        <v>0</v>
      </c>
      <c r="C5" s="7"/>
    </row>
    <row r="6" spans="2:3" x14ac:dyDescent="0.45">
      <c r="B6" s="126" t="s">
        <v>52</v>
      </c>
      <c r="C6" s="101">
        <f>Input!C64</f>
        <v>2</v>
      </c>
    </row>
    <row r="7" spans="2:3" x14ac:dyDescent="0.45">
      <c r="B7" s="127" t="s">
        <v>53</v>
      </c>
      <c r="C7" s="103">
        <f>'Ableitung Optionspreise'!D27</f>
        <v>8.3120046774244081</v>
      </c>
    </row>
    <row r="8" spans="2:3" x14ac:dyDescent="0.45">
      <c r="B8" s="127" t="s">
        <v>54</v>
      </c>
      <c r="C8" s="103">
        <f>Input!C43</f>
        <v>68</v>
      </c>
    </row>
    <row r="9" spans="2:3" x14ac:dyDescent="0.45">
      <c r="B9" s="127" t="s">
        <v>49</v>
      </c>
      <c r="C9" s="103">
        <f>Input!C63</f>
        <v>1</v>
      </c>
    </row>
    <row r="10" spans="2:3" x14ac:dyDescent="0.45">
      <c r="B10" s="127" t="s">
        <v>50</v>
      </c>
      <c r="C10" s="103">
        <f>'Ableitung Optionspreise'!M27</f>
        <v>10.724901686056278</v>
      </c>
    </row>
    <row r="11" spans="2:3" ht="14.65" thickBot="1" x14ac:dyDescent="0.5">
      <c r="B11" s="128" t="s">
        <v>51</v>
      </c>
      <c r="C11" s="111">
        <f>Input!C45</f>
        <v>72</v>
      </c>
    </row>
    <row r="19" spans="2:3" x14ac:dyDescent="0.45">
      <c r="B19" s="54" t="s">
        <v>4</v>
      </c>
      <c r="C19" s="55" t="s">
        <v>19</v>
      </c>
    </row>
    <row r="20" spans="2:3" x14ac:dyDescent="0.45">
      <c r="B20" s="109">
        <f>Input!C5</f>
        <v>0</v>
      </c>
      <c r="C20" s="56">
        <f>SUM((IF(B20&lt;$C$8,$C$8-B20-$C$7,-$C$7)*$C$6),IF(B20&lt;$C$11,B20-$C$11+$C$10,$C$10)*$C$9)</f>
        <v>58.100892331207454</v>
      </c>
    </row>
    <row r="21" spans="2:3" x14ac:dyDescent="0.45">
      <c r="B21" s="109">
        <f>Input!C6</f>
        <v>5</v>
      </c>
      <c r="C21" s="56">
        <f t="shared" ref="C21:C48" si="0">SUM((IF(B21&lt;$C$8,$C$8-B21-$C$7,-$C$7)*$C$6),IF(B21&lt;$C$11,B21-$C$11+$C$10,$C$10)*$C$9)</f>
        <v>53.100892331207454</v>
      </c>
    </row>
    <row r="22" spans="2:3" x14ac:dyDescent="0.45">
      <c r="B22" s="109">
        <f>Input!C7</f>
        <v>10</v>
      </c>
      <c r="C22" s="56">
        <f t="shared" si="0"/>
        <v>48.100892331207454</v>
      </c>
    </row>
    <row r="23" spans="2:3" x14ac:dyDescent="0.45">
      <c r="B23" s="109">
        <f>Input!C8</f>
        <v>15</v>
      </c>
      <c r="C23" s="56">
        <f>SUM((IF(B23&lt;$C$8,$C$8-B23-$C$7,-$C$7)*$C$6),IF(B23&lt;$C$11,B23-$C$11+$C$10,$C$10)*$C$9)</f>
        <v>43.100892331207454</v>
      </c>
    </row>
    <row r="24" spans="2:3" x14ac:dyDescent="0.45">
      <c r="B24" s="109">
        <f>Input!C9</f>
        <v>20</v>
      </c>
      <c r="C24" s="56">
        <f t="shared" si="0"/>
        <v>38.100892331207454</v>
      </c>
    </row>
    <row r="25" spans="2:3" x14ac:dyDescent="0.45">
      <c r="B25" s="109">
        <f>Input!C10</f>
        <v>25</v>
      </c>
      <c r="C25" s="56">
        <f t="shared" si="0"/>
        <v>33.100892331207454</v>
      </c>
    </row>
    <row r="26" spans="2:3" x14ac:dyDescent="0.45">
      <c r="B26" s="109">
        <f>Input!C11</f>
        <v>30</v>
      </c>
      <c r="C26" s="56">
        <f t="shared" si="0"/>
        <v>28.100892331207461</v>
      </c>
    </row>
    <row r="27" spans="2:3" x14ac:dyDescent="0.45">
      <c r="B27" s="109">
        <f>Input!C12</f>
        <v>35</v>
      </c>
      <c r="C27" s="56">
        <f t="shared" si="0"/>
        <v>23.100892331207461</v>
      </c>
    </row>
    <row r="28" spans="2:3" x14ac:dyDescent="0.45">
      <c r="B28" s="109">
        <f>Input!C13</f>
        <v>40</v>
      </c>
      <c r="C28" s="56">
        <f t="shared" si="0"/>
        <v>18.100892331207461</v>
      </c>
    </row>
    <row r="29" spans="2:3" x14ac:dyDescent="0.45">
      <c r="B29" s="109">
        <f>Input!C14</f>
        <v>45</v>
      </c>
      <c r="C29" s="56">
        <f t="shared" si="0"/>
        <v>13.100892331207461</v>
      </c>
    </row>
    <row r="30" spans="2:3" x14ac:dyDescent="0.45">
      <c r="B30" s="109">
        <f>Input!C15</f>
        <v>50</v>
      </c>
      <c r="C30" s="56">
        <f t="shared" si="0"/>
        <v>8.1008923312074614</v>
      </c>
    </row>
    <row r="31" spans="2:3" x14ac:dyDescent="0.45">
      <c r="B31" s="109">
        <f>Input!C16</f>
        <v>55</v>
      </c>
      <c r="C31" s="56">
        <f t="shared" si="0"/>
        <v>3.1008923312074614</v>
      </c>
    </row>
    <row r="32" spans="2:3" x14ac:dyDescent="0.45">
      <c r="B32" s="109">
        <f>Input!C17</f>
        <v>60</v>
      </c>
      <c r="C32" s="56">
        <f t="shared" si="0"/>
        <v>-1.8991076687925386</v>
      </c>
    </row>
    <row r="33" spans="2:3" x14ac:dyDescent="0.45">
      <c r="B33" s="109">
        <f>Input!C18</f>
        <v>65</v>
      </c>
      <c r="C33" s="56">
        <f t="shared" si="0"/>
        <v>-6.8991076687925386</v>
      </c>
    </row>
    <row r="34" spans="2:3" x14ac:dyDescent="0.45">
      <c r="B34" s="109">
        <f>Input!C19</f>
        <v>70</v>
      </c>
      <c r="C34" s="56">
        <f t="shared" si="0"/>
        <v>-7.8991076687925386</v>
      </c>
    </row>
    <row r="35" spans="2:3" x14ac:dyDescent="0.45">
      <c r="B35" s="109">
        <f>Input!C20</f>
        <v>75</v>
      </c>
      <c r="C35" s="56">
        <f t="shared" si="0"/>
        <v>-5.8991076687925386</v>
      </c>
    </row>
    <row r="36" spans="2:3" x14ac:dyDescent="0.45">
      <c r="B36" s="109">
        <f>Input!C21</f>
        <v>80</v>
      </c>
      <c r="C36" s="56">
        <f t="shared" si="0"/>
        <v>-5.8991076687925386</v>
      </c>
    </row>
    <row r="37" spans="2:3" x14ac:dyDescent="0.45">
      <c r="B37" s="109">
        <f>Input!C22</f>
        <v>85</v>
      </c>
      <c r="C37" s="56">
        <f t="shared" si="0"/>
        <v>-5.8991076687925386</v>
      </c>
    </row>
    <row r="38" spans="2:3" x14ac:dyDescent="0.45">
      <c r="B38" s="109">
        <f>Input!C23</f>
        <v>90</v>
      </c>
      <c r="C38" s="56">
        <f t="shared" si="0"/>
        <v>-5.8991076687925386</v>
      </c>
    </row>
    <row r="39" spans="2:3" x14ac:dyDescent="0.45">
      <c r="B39" s="109">
        <f>Input!C24</f>
        <v>95</v>
      </c>
      <c r="C39" s="56">
        <f t="shared" si="0"/>
        <v>-5.8991076687925386</v>
      </c>
    </row>
    <row r="40" spans="2:3" x14ac:dyDescent="0.45">
      <c r="B40" s="109">
        <f>Input!C25</f>
        <v>100</v>
      </c>
      <c r="C40" s="56">
        <f t="shared" si="0"/>
        <v>-5.8991076687925386</v>
      </c>
    </row>
    <row r="41" spans="2:3" x14ac:dyDescent="0.45">
      <c r="B41" s="109">
        <f>Input!C26</f>
        <v>105</v>
      </c>
      <c r="C41" s="56">
        <f t="shared" si="0"/>
        <v>-5.8991076687925386</v>
      </c>
    </row>
    <row r="42" spans="2:3" x14ac:dyDescent="0.45">
      <c r="B42" s="109">
        <f>Input!C27</f>
        <v>110</v>
      </c>
      <c r="C42" s="56">
        <f t="shared" si="0"/>
        <v>-5.8991076687925386</v>
      </c>
    </row>
    <row r="43" spans="2:3" x14ac:dyDescent="0.45">
      <c r="B43" s="109">
        <f>Input!C28</f>
        <v>115</v>
      </c>
      <c r="C43" s="56">
        <f t="shared" si="0"/>
        <v>-5.8991076687925386</v>
      </c>
    </row>
    <row r="44" spans="2:3" x14ac:dyDescent="0.45">
      <c r="B44" s="109">
        <f>Input!C29</f>
        <v>120</v>
      </c>
      <c r="C44" s="56">
        <f t="shared" si="0"/>
        <v>-5.8991076687925386</v>
      </c>
    </row>
    <row r="45" spans="2:3" x14ac:dyDescent="0.45">
      <c r="B45" s="109">
        <f>Input!C30</f>
        <v>125</v>
      </c>
      <c r="C45" s="56">
        <f t="shared" si="0"/>
        <v>-5.8991076687925386</v>
      </c>
    </row>
    <row r="46" spans="2:3" x14ac:dyDescent="0.45">
      <c r="B46" s="109">
        <f>Input!C31</f>
        <v>130</v>
      </c>
      <c r="C46" s="56">
        <f t="shared" si="0"/>
        <v>-5.8991076687925386</v>
      </c>
    </row>
    <row r="47" spans="2:3" x14ac:dyDescent="0.45">
      <c r="B47" s="109">
        <f>Input!C32</f>
        <v>135</v>
      </c>
      <c r="C47" s="56">
        <f t="shared" si="0"/>
        <v>-5.8991076687925386</v>
      </c>
    </row>
    <row r="48" spans="2:3" x14ac:dyDescent="0.45">
      <c r="B48" s="110">
        <f>Input!C33</f>
        <v>140</v>
      </c>
      <c r="C48" s="57">
        <f t="shared" si="0"/>
        <v>-5.8991076687925386</v>
      </c>
    </row>
    <row r="50" spans="2:3" x14ac:dyDescent="0.45">
      <c r="B50" s="296" t="s">
        <v>262</v>
      </c>
      <c r="C50" s="297">
        <f>C10-(C6*C7)</f>
        <v>-5.8991076687925386</v>
      </c>
    </row>
  </sheetData>
  <conditionalFormatting sqref="A1:XFD4 A5:B5 D5:XFD5 A6:XFD11 A49:XFD49 A12:A48 D12:XFD48 B19:C48 A51:XFD1048576 A50 D50:XFD50">
    <cfRule type="containsBlanks" dxfId="348" priority="6">
      <formula>LEN(TRIM(A1))=0</formula>
    </cfRule>
  </conditionalFormatting>
  <conditionalFormatting sqref="B12:C18">
    <cfRule type="containsBlanks" dxfId="347" priority="5">
      <formula>LEN(TRIM(B12))=0</formula>
    </cfRule>
  </conditionalFormatting>
  <conditionalFormatting sqref="B50">
    <cfRule type="containsBlanks" dxfId="346" priority="2">
      <formula>LEN(TRIM(B50))=0</formula>
    </cfRule>
  </conditionalFormatting>
  <conditionalFormatting sqref="C50">
    <cfRule type="containsBlanks" dxfId="345" priority="1">
      <formula>LEN(TRIM(C50))=0</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4" tint="0.79998168889431442"/>
  </sheetPr>
  <dimension ref="B3:C50"/>
  <sheetViews>
    <sheetView zoomScale="73" zoomScaleNormal="73" workbookViewId="0">
      <selection activeCell="N46" sqref="N46"/>
    </sheetView>
  </sheetViews>
  <sheetFormatPr baseColWidth="10" defaultColWidth="9.1328125" defaultRowHeight="14.25" x14ac:dyDescent="0.45"/>
  <cols>
    <col min="2" max="2" width="27.3984375" bestFit="1" customWidth="1"/>
  </cols>
  <sheetData>
    <row r="3" spans="2:3" ht="15.75" x14ac:dyDescent="0.5">
      <c r="B3" s="112" t="s">
        <v>114</v>
      </c>
    </row>
    <row r="4" spans="2:3" ht="14.65" thickBot="1" x14ac:dyDescent="0.5"/>
    <row r="5" spans="2:3" x14ac:dyDescent="0.45">
      <c r="B5" s="2" t="s">
        <v>0</v>
      </c>
      <c r="C5" s="7"/>
    </row>
    <row r="6" spans="2:3" x14ac:dyDescent="0.45">
      <c r="B6" s="3" t="s">
        <v>52</v>
      </c>
      <c r="C6" s="101">
        <f>Input!C63</f>
        <v>1</v>
      </c>
    </row>
    <row r="7" spans="2:3" x14ac:dyDescent="0.45">
      <c r="B7" s="31" t="s">
        <v>53</v>
      </c>
      <c r="C7" s="103">
        <f>'Ableitung Optionspreise'!M27</f>
        <v>10.724901686056278</v>
      </c>
    </row>
    <row r="8" spans="2:3" x14ac:dyDescent="0.45">
      <c r="B8" s="31" t="s">
        <v>54</v>
      </c>
      <c r="C8" s="103">
        <f>Input!C45</f>
        <v>72</v>
      </c>
    </row>
    <row r="9" spans="2:3" x14ac:dyDescent="0.45">
      <c r="B9" s="31" t="s">
        <v>49</v>
      </c>
      <c r="C9" s="103">
        <f>Input!C63</f>
        <v>1</v>
      </c>
    </row>
    <row r="10" spans="2:3" x14ac:dyDescent="0.45">
      <c r="B10" s="31" t="s">
        <v>50</v>
      </c>
      <c r="C10" s="103">
        <f>'Ableitung Optionspreise'!D27</f>
        <v>8.3120046774244081</v>
      </c>
    </row>
    <row r="11" spans="2:3" ht="14.65" thickBot="1" x14ac:dyDescent="0.5">
      <c r="B11" s="6" t="s">
        <v>51</v>
      </c>
      <c r="C11" s="111">
        <f>Input!C43</f>
        <v>68</v>
      </c>
    </row>
    <row r="19" spans="2:3" x14ac:dyDescent="0.45">
      <c r="B19" s="54" t="s">
        <v>4</v>
      </c>
      <c r="C19" s="55" t="s">
        <v>19</v>
      </c>
    </row>
    <row r="20" spans="2:3" x14ac:dyDescent="0.45">
      <c r="B20" s="109">
        <f>Input!C5</f>
        <v>0</v>
      </c>
      <c r="C20" s="56">
        <f>SUM((IF(B20&lt;$C$8,$C$8-B20-$C$7,-$C$7)*$C$6),IF(B20&lt;$C$11,B20-$C$11+$C$10,$C$10)*$C$9)</f>
        <v>1.587102991368134</v>
      </c>
    </row>
    <row r="21" spans="2:3" x14ac:dyDescent="0.45">
      <c r="B21" s="109">
        <f>Input!C6</f>
        <v>5</v>
      </c>
      <c r="C21" s="56">
        <f t="shared" ref="C21:C48" si="0">SUM((IF(B21&lt;$C$8,$C$8-B21-$C$7,-$C$7)*$C$6),IF(B21&lt;$C$11,B21-$C$11+$C$10,$C$10)*$C$9)</f>
        <v>1.587102991368134</v>
      </c>
    </row>
    <row r="22" spans="2:3" x14ac:dyDescent="0.45">
      <c r="B22" s="109">
        <f>Input!C7</f>
        <v>10</v>
      </c>
      <c r="C22" s="56">
        <f>SUM((IF(B22&lt;$C$8,$C$8-B22-$C$7,-$C$7)*$C$6),IF(B22&lt;$C$11,B22-$C$11+$C$10,$C$10)*$C$9)</f>
        <v>1.587102991368134</v>
      </c>
    </row>
    <row r="23" spans="2:3" x14ac:dyDescent="0.45">
      <c r="B23" s="109">
        <f>Input!C8</f>
        <v>15</v>
      </c>
      <c r="C23" s="56">
        <f t="shared" si="0"/>
        <v>1.587102991368134</v>
      </c>
    </row>
    <row r="24" spans="2:3" x14ac:dyDescent="0.45">
      <c r="B24" s="109">
        <f>Input!C9</f>
        <v>20</v>
      </c>
      <c r="C24" s="56">
        <f t="shared" si="0"/>
        <v>1.587102991368134</v>
      </c>
    </row>
    <row r="25" spans="2:3" x14ac:dyDescent="0.45">
      <c r="B25" s="109">
        <f>Input!C10</f>
        <v>25</v>
      </c>
      <c r="C25" s="56">
        <f t="shared" si="0"/>
        <v>1.587102991368134</v>
      </c>
    </row>
    <row r="26" spans="2:3" x14ac:dyDescent="0.45">
      <c r="B26" s="109">
        <f>Input!C11</f>
        <v>30</v>
      </c>
      <c r="C26" s="56">
        <f t="shared" si="0"/>
        <v>1.5871029913681305</v>
      </c>
    </row>
    <row r="27" spans="2:3" x14ac:dyDescent="0.45">
      <c r="B27" s="109">
        <f>Input!C12</f>
        <v>35</v>
      </c>
      <c r="C27" s="56">
        <f t="shared" si="0"/>
        <v>1.5871029913681305</v>
      </c>
    </row>
    <row r="28" spans="2:3" x14ac:dyDescent="0.45">
      <c r="B28" s="109">
        <f>Input!C13</f>
        <v>40</v>
      </c>
      <c r="C28" s="56">
        <f t="shared" si="0"/>
        <v>1.5871029913681305</v>
      </c>
    </row>
    <row r="29" spans="2:3" x14ac:dyDescent="0.45">
      <c r="B29" s="109">
        <f>Input!C14</f>
        <v>45</v>
      </c>
      <c r="C29" s="56">
        <f t="shared" si="0"/>
        <v>1.5871029913681305</v>
      </c>
    </row>
    <row r="30" spans="2:3" x14ac:dyDescent="0.45">
      <c r="B30" s="109">
        <f>Input!C15</f>
        <v>50</v>
      </c>
      <c r="C30" s="56">
        <f t="shared" si="0"/>
        <v>1.5871029913681305</v>
      </c>
    </row>
    <row r="31" spans="2:3" x14ac:dyDescent="0.45">
      <c r="B31" s="109">
        <f>Input!C16</f>
        <v>55</v>
      </c>
      <c r="C31" s="56">
        <f t="shared" si="0"/>
        <v>1.5871029913681305</v>
      </c>
    </row>
    <row r="32" spans="2:3" x14ac:dyDescent="0.45">
      <c r="B32" s="109">
        <f>Input!C17</f>
        <v>60</v>
      </c>
      <c r="C32" s="56">
        <f t="shared" si="0"/>
        <v>1.5871029913681305</v>
      </c>
    </row>
    <row r="33" spans="2:3" x14ac:dyDescent="0.45">
      <c r="B33" s="109">
        <f>Input!C18</f>
        <v>65</v>
      </c>
      <c r="C33" s="56">
        <f t="shared" si="0"/>
        <v>1.5871029913681305</v>
      </c>
    </row>
    <row r="34" spans="2:3" x14ac:dyDescent="0.45">
      <c r="B34" s="109">
        <f>Input!C19</f>
        <v>70</v>
      </c>
      <c r="C34" s="56">
        <f t="shared" si="0"/>
        <v>-0.41289700863186951</v>
      </c>
    </row>
    <row r="35" spans="2:3" x14ac:dyDescent="0.45">
      <c r="B35" s="109">
        <f>Input!C20</f>
        <v>75</v>
      </c>
      <c r="C35" s="56">
        <f t="shared" si="0"/>
        <v>-2.4128970086318695</v>
      </c>
    </row>
    <row r="36" spans="2:3" x14ac:dyDescent="0.45">
      <c r="B36" s="109">
        <f>Input!C21</f>
        <v>80</v>
      </c>
      <c r="C36" s="56">
        <f t="shared" si="0"/>
        <v>-2.4128970086318695</v>
      </c>
    </row>
    <row r="37" spans="2:3" x14ac:dyDescent="0.45">
      <c r="B37" s="109">
        <f>Input!C22</f>
        <v>85</v>
      </c>
      <c r="C37" s="56">
        <f t="shared" si="0"/>
        <v>-2.4128970086318695</v>
      </c>
    </row>
    <row r="38" spans="2:3" x14ac:dyDescent="0.45">
      <c r="B38" s="109">
        <f>Input!C23</f>
        <v>90</v>
      </c>
      <c r="C38" s="56">
        <f t="shared" si="0"/>
        <v>-2.4128970086318695</v>
      </c>
    </row>
    <row r="39" spans="2:3" x14ac:dyDescent="0.45">
      <c r="B39" s="109">
        <f>Input!C24</f>
        <v>95</v>
      </c>
      <c r="C39" s="56">
        <f t="shared" si="0"/>
        <v>-2.4128970086318695</v>
      </c>
    </row>
    <row r="40" spans="2:3" x14ac:dyDescent="0.45">
      <c r="B40" s="109">
        <f>Input!C25</f>
        <v>100</v>
      </c>
      <c r="C40" s="56">
        <f t="shared" si="0"/>
        <v>-2.4128970086318695</v>
      </c>
    </row>
    <row r="41" spans="2:3" x14ac:dyDescent="0.45">
      <c r="B41" s="109">
        <f>Input!C26</f>
        <v>105</v>
      </c>
      <c r="C41" s="56">
        <f t="shared" si="0"/>
        <v>-2.4128970086318695</v>
      </c>
    </row>
    <row r="42" spans="2:3" x14ac:dyDescent="0.45">
      <c r="B42" s="109">
        <f>Input!C27</f>
        <v>110</v>
      </c>
      <c r="C42" s="56">
        <f t="shared" si="0"/>
        <v>-2.4128970086318695</v>
      </c>
    </row>
    <row r="43" spans="2:3" x14ac:dyDescent="0.45">
      <c r="B43" s="109">
        <f>Input!C28</f>
        <v>115</v>
      </c>
      <c r="C43" s="56">
        <f t="shared" si="0"/>
        <v>-2.4128970086318695</v>
      </c>
    </row>
    <row r="44" spans="2:3" x14ac:dyDescent="0.45">
      <c r="B44" s="109">
        <f>Input!C29</f>
        <v>120</v>
      </c>
      <c r="C44" s="56">
        <f t="shared" si="0"/>
        <v>-2.4128970086318695</v>
      </c>
    </row>
    <row r="45" spans="2:3" x14ac:dyDescent="0.45">
      <c r="B45" s="109">
        <f>Input!C30</f>
        <v>125</v>
      </c>
      <c r="C45" s="56">
        <f t="shared" si="0"/>
        <v>-2.4128970086318695</v>
      </c>
    </row>
    <row r="46" spans="2:3" x14ac:dyDescent="0.45">
      <c r="B46" s="109">
        <f>Input!C31</f>
        <v>130</v>
      </c>
      <c r="C46" s="56">
        <f t="shared" si="0"/>
        <v>-2.4128970086318695</v>
      </c>
    </row>
    <row r="47" spans="2:3" x14ac:dyDescent="0.45">
      <c r="B47" s="109">
        <f>Input!C32</f>
        <v>135</v>
      </c>
      <c r="C47" s="56">
        <f t="shared" si="0"/>
        <v>-2.4128970086318695</v>
      </c>
    </row>
    <row r="48" spans="2:3" x14ac:dyDescent="0.45">
      <c r="B48" s="110">
        <f>Input!C33</f>
        <v>140</v>
      </c>
      <c r="C48" s="57">
        <f t="shared" si="0"/>
        <v>-2.4128970086318695</v>
      </c>
    </row>
    <row r="50" spans="2:3" x14ac:dyDescent="0.45">
      <c r="B50" s="296" t="s">
        <v>262</v>
      </c>
      <c r="C50" s="297">
        <f>C10-C7</f>
        <v>-2.4128970086318695</v>
      </c>
    </row>
  </sheetData>
  <conditionalFormatting sqref="A1:XFD4 A5:B5 D5:XFD5 A6:XFD11 A49:XFD49 A12:A48 D12:XFD48 B19:C48 A51:XFD1048576 A50 D50:XFD50">
    <cfRule type="containsBlanks" dxfId="344" priority="6">
      <formula>LEN(TRIM(A1))=0</formula>
    </cfRule>
  </conditionalFormatting>
  <conditionalFormatting sqref="B12:C18">
    <cfRule type="containsBlanks" dxfId="343" priority="5">
      <formula>LEN(TRIM(B12))=0</formula>
    </cfRule>
  </conditionalFormatting>
  <conditionalFormatting sqref="B50">
    <cfRule type="containsBlanks" dxfId="342" priority="2">
      <formula>LEN(TRIM(B50))=0</formula>
    </cfRule>
  </conditionalFormatting>
  <conditionalFormatting sqref="C50">
    <cfRule type="containsBlanks" dxfId="341" priority="1">
      <formula>LEN(TRIM(C50))=0</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79998168889431442"/>
  </sheetPr>
  <dimension ref="B2:C50"/>
  <sheetViews>
    <sheetView zoomScale="72" zoomScaleNormal="72" workbookViewId="0">
      <selection activeCell="N46" sqref="N46"/>
    </sheetView>
  </sheetViews>
  <sheetFormatPr baseColWidth="10" defaultColWidth="9.1328125" defaultRowHeight="14.25" x14ac:dyDescent="0.45"/>
  <cols>
    <col min="2" max="2" width="27.3984375" bestFit="1" customWidth="1"/>
  </cols>
  <sheetData>
    <row r="2" spans="2:3" x14ac:dyDescent="0.45">
      <c r="B2" s="38"/>
    </row>
    <row r="3" spans="2:3" ht="15.75" x14ac:dyDescent="0.5">
      <c r="B3" s="112" t="s">
        <v>115</v>
      </c>
    </row>
    <row r="4" spans="2:3" ht="14.65" thickBot="1" x14ac:dyDescent="0.5"/>
    <row r="5" spans="2:3" x14ac:dyDescent="0.45">
      <c r="B5" s="2" t="s">
        <v>0</v>
      </c>
      <c r="C5" s="7"/>
    </row>
    <row r="6" spans="2:3" x14ac:dyDescent="0.45">
      <c r="B6" s="3" t="s">
        <v>35</v>
      </c>
      <c r="C6" s="101">
        <f>Input!C61</f>
        <v>1</v>
      </c>
    </row>
    <row r="7" spans="2:3" x14ac:dyDescent="0.45">
      <c r="B7" s="3" t="s">
        <v>34</v>
      </c>
      <c r="C7" s="101">
        <f>'Ableitung Optionspreise'!L27</f>
        <v>6.1273274075246036</v>
      </c>
    </row>
    <row r="8" spans="2:3" x14ac:dyDescent="0.45">
      <c r="B8" s="3" t="s">
        <v>33</v>
      </c>
      <c r="C8" s="101">
        <f>Input!C45</f>
        <v>72</v>
      </c>
    </row>
    <row r="9" spans="2:3" x14ac:dyDescent="0.45">
      <c r="B9" s="3" t="s">
        <v>36</v>
      </c>
      <c r="C9" s="101">
        <f>Input!C61</f>
        <v>1</v>
      </c>
    </row>
    <row r="10" spans="2:3" x14ac:dyDescent="0.45">
      <c r="B10" s="31" t="s">
        <v>37</v>
      </c>
      <c r="C10" s="103">
        <f>'Ableitung Optionspreise'!C27</f>
        <v>7.6746297338894109</v>
      </c>
    </row>
    <row r="11" spans="2:3" ht="14.65" thickBot="1" x14ac:dyDescent="0.5">
      <c r="B11" s="30" t="s">
        <v>38</v>
      </c>
      <c r="C11" s="104">
        <f>Input!C43</f>
        <v>68</v>
      </c>
    </row>
    <row r="12" spans="2:3" x14ac:dyDescent="0.45">
      <c r="B12" s="36"/>
      <c r="C12" s="36"/>
    </row>
    <row r="19" spans="2:3" x14ac:dyDescent="0.45">
      <c r="B19" s="54" t="s">
        <v>4</v>
      </c>
      <c r="C19" s="55" t="s">
        <v>19</v>
      </c>
    </row>
    <row r="20" spans="2:3" x14ac:dyDescent="0.45">
      <c r="B20" s="109">
        <f>Input!C5</f>
        <v>0</v>
      </c>
      <c r="C20" s="56">
        <f>SUM((IF(B20&gt;$C$8,B20-$C$8-$C$7,-$C$7)*$C$6),IF(B20&gt;$C$11,$C$11-B20+$C$10,$C$10))</f>
        <v>1.5473023263648074</v>
      </c>
    </row>
    <row r="21" spans="2:3" x14ac:dyDescent="0.45">
      <c r="B21" s="109">
        <f>Input!C6</f>
        <v>5</v>
      </c>
      <c r="C21" s="56">
        <f t="shared" ref="C21:C48" si="0">SUM((IF(B21&gt;$C$8,B21-$C$8-$C$7,-$C$7)*$C$6),IF(B21&gt;$C$11,$C$11-B21+$C$10,$C$10))</f>
        <v>1.5473023263648074</v>
      </c>
    </row>
    <row r="22" spans="2:3" x14ac:dyDescent="0.45">
      <c r="B22" s="109">
        <f>Input!C7</f>
        <v>10</v>
      </c>
      <c r="C22" s="56">
        <f t="shared" si="0"/>
        <v>1.5473023263648074</v>
      </c>
    </row>
    <row r="23" spans="2:3" x14ac:dyDescent="0.45">
      <c r="B23" s="109">
        <f>Input!C8</f>
        <v>15</v>
      </c>
      <c r="C23" s="56">
        <f t="shared" si="0"/>
        <v>1.5473023263648074</v>
      </c>
    </row>
    <row r="24" spans="2:3" x14ac:dyDescent="0.45">
      <c r="B24" s="109">
        <f>Input!C9</f>
        <v>20</v>
      </c>
      <c r="C24" s="56">
        <f t="shared" si="0"/>
        <v>1.5473023263648074</v>
      </c>
    </row>
    <row r="25" spans="2:3" x14ac:dyDescent="0.45">
      <c r="B25" s="109">
        <f>Input!C10</f>
        <v>25</v>
      </c>
      <c r="C25" s="56">
        <f t="shared" si="0"/>
        <v>1.5473023263648074</v>
      </c>
    </row>
    <row r="26" spans="2:3" x14ac:dyDescent="0.45">
      <c r="B26" s="109">
        <f>Input!C11</f>
        <v>30</v>
      </c>
      <c r="C26" s="56">
        <f t="shared" si="0"/>
        <v>1.5473023263648074</v>
      </c>
    </row>
    <row r="27" spans="2:3" x14ac:dyDescent="0.45">
      <c r="B27" s="109">
        <f>Input!C12</f>
        <v>35</v>
      </c>
      <c r="C27" s="56">
        <f t="shared" si="0"/>
        <v>1.5473023263648074</v>
      </c>
    </row>
    <row r="28" spans="2:3" x14ac:dyDescent="0.45">
      <c r="B28" s="109">
        <f>Input!C13</f>
        <v>40</v>
      </c>
      <c r="C28" s="56">
        <f t="shared" si="0"/>
        <v>1.5473023263648074</v>
      </c>
    </row>
    <row r="29" spans="2:3" x14ac:dyDescent="0.45">
      <c r="B29" s="109">
        <f>Input!C14</f>
        <v>45</v>
      </c>
      <c r="C29" s="56">
        <f t="shared" si="0"/>
        <v>1.5473023263648074</v>
      </c>
    </row>
    <row r="30" spans="2:3" x14ac:dyDescent="0.45">
      <c r="B30" s="109">
        <f>Input!C15</f>
        <v>50</v>
      </c>
      <c r="C30" s="56">
        <f t="shared" si="0"/>
        <v>1.5473023263648074</v>
      </c>
    </row>
    <row r="31" spans="2:3" x14ac:dyDescent="0.45">
      <c r="B31" s="109">
        <f>Input!C16</f>
        <v>55</v>
      </c>
      <c r="C31" s="56">
        <f t="shared" si="0"/>
        <v>1.5473023263648074</v>
      </c>
    </row>
    <row r="32" spans="2:3" x14ac:dyDescent="0.45">
      <c r="B32" s="109">
        <f>Input!C17</f>
        <v>60</v>
      </c>
      <c r="C32" s="56">
        <f t="shared" si="0"/>
        <v>1.5473023263648074</v>
      </c>
    </row>
    <row r="33" spans="2:3" x14ac:dyDescent="0.45">
      <c r="B33" s="109">
        <f>Input!C18</f>
        <v>65</v>
      </c>
      <c r="C33" s="56">
        <f t="shared" si="0"/>
        <v>1.5473023263648074</v>
      </c>
    </row>
    <row r="34" spans="2:3" x14ac:dyDescent="0.45">
      <c r="B34" s="109">
        <f>Input!C19</f>
        <v>70</v>
      </c>
      <c r="C34" s="56">
        <f t="shared" si="0"/>
        <v>-0.45269767363519264</v>
      </c>
    </row>
    <row r="35" spans="2:3" x14ac:dyDescent="0.45">
      <c r="B35" s="109">
        <f>Input!C20</f>
        <v>75</v>
      </c>
      <c r="C35" s="56">
        <f t="shared" si="0"/>
        <v>-2.4526976736351926</v>
      </c>
    </row>
    <row r="36" spans="2:3" x14ac:dyDescent="0.45">
      <c r="B36" s="109">
        <f>Input!C21</f>
        <v>80</v>
      </c>
      <c r="C36" s="56">
        <f t="shared" si="0"/>
        <v>-2.4526976736351926</v>
      </c>
    </row>
    <row r="37" spans="2:3" x14ac:dyDescent="0.45">
      <c r="B37" s="109">
        <f>Input!C22</f>
        <v>85</v>
      </c>
      <c r="C37" s="56">
        <f t="shared" si="0"/>
        <v>-2.4526976736351926</v>
      </c>
    </row>
    <row r="38" spans="2:3" x14ac:dyDescent="0.45">
      <c r="B38" s="109">
        <f>Input!C23</f>
        <v>90</v>
      </c>
      <c r="C38" s="56">
        <f t="shared" si="0"/>
        <v>-2.4526976736351926</v>
      </c>
    </row>
    <row r="39" spans="2:3" x14ac:dyDescent="0.45">
      <c r="B39" s="109">
        <f>Input!C24</f>
        <v>95</v>
      </c>
      <c r="C39" s="56">
        <f t="shared" si="0"/>
        <v>-2.4526976736351926</v>
      </c>
    </row>
    <row r="40" spans="2:3" x14ac:dyDescent="0.45">
      <c r="B40" s="109">
        <f>Input!C25</f>
        <v>100</v>
      </c>
      <c r="C40" s="56">
        <f t="shared" si="0"/>
        <v>-2.4526976736351926</v>
      </c>
    </row>
    <row r="41" spans="2:3" x14ac:dyDescent="0.45">
      <c r="B41" s="109">
        <f>Input!C26</f>
        <v>105</v>
      </c>
      <c r="C41" s="56">
        <f t="shared" si="0"/>
        <v>-2.4526976736351926</v>
      </c>
    </row>
    <row r="42" spans="2:3" x14ac:dyDescent="0.45">
      <c r="B42" s="109">
        <f>Input!C27</f>
        <v>110</v>
      </c>
      <c r="C42" s="56">
        <f t="shared" si="0"/>
        <v>-2.4526976736351926</v>
      </c>
    </row>
    <row r="43" spans="2:3" x14ac:dyDescent="0.45">
      <c r="B43" s="109">
        <f>Input!C28</f>
        <v>115</v>
      </c>
      <c r="C43" s="56">
        <f t="shared" si="0"/>
        <v>-2.4526976736351926</v>
      </c>
    </row>
    <row r="44" spans="2:3" x14ac:dyDescent="0.45">
      <c r="B44" s="109">
        <f>Input!C29</f>
        <v>120</v>
      </c>
      <c r="C44" s="56">
        <f t="shared" si="0"/>
        <v>-2.4526976736351926</v>
      </c>
    </row>
    <row r="45" spans="2:3" x14ac:dyDescent="0.45">
      <c r="B45" s="109">
        <f>Input!C30</f>
        <v>125</v>
      </c>
      <c r="C45" s="56">
        <f t="shared" si="0"/>
        <v>-2.4526976736351926</v>
      </c>
    </row>
    <row r="46" spans="2:3" x14ac:dyDescent="0.45">
      <c r="B46" s="109">
        <f>Input!C31</f>
        <v>130</v>
      </c>
      <c r="C46" s="56">
        <f t="shared" si="0"/>
        <v>-2.4526976736351926</v>
      </c>
    </row>
    <row r="47" spans="2:3" x14ac:dyDescent="0.45">
      <c r="B47" s="109">
        <f>Input!C32</f>
        <v>135</v>
      </c>
      <c r="C47" s="56">
        <f t="shared" si="0"/>
        <v>-2.4526976736351926</v>
      </c>
    </row>
    <row r="48" spans="2:3" x14ac:dyDescent="0.45">
      <c r="B48" s="110">
        <f>Input!C33</f>
        <v>140</v>
      </c>
      <c r="C48" s="57">
        <f t="shared" si="0"/>
        <v>-2.4526976736351855</v>
      </c>
    </row>
    <row r="50" spans="2:3" x14ac:dyDescent="0.45">
      <c r="B50" s="296" t="s">
        <v>262</v>
      </c>
      <c r="C50" s="223">
        <f>C10-C7</f>
        <v>1.5473023263648074</v>
      </c>
    </row>
  </sheetData>
  <conditionalFormatting sqref="A1:XFD4 A5:B5 D5:XFD5 A6:XFD12 A49:XFD49 A13:A48 D13:XFD48 B19:C48 A51:XFD1048576 A50 D50:XFD50">
    <cfRule type="containsBlanks" dxfId="340" priority="5">
      <formula>LEN(TRIM(A1))=0</formula>
    </cfRule>
  </conditionalFormatting>
  <conditionalFormatting sqref="B13:C18">
    <cfRule type="containsBlanks" dxfId="339" priority="4">
      <formula>LEN(TRIM(B13))=0</formula>
    </cfRule>
  </conditionalFormatting>
  <conditionalFormatting sqref="C50">
    <cfRule type="containsBlanks" dxfId="338" priority="3">
      <formula>LEN(TRIM(C50))=0</formula>
    </cfRule>
  </conditionalFormatting>
  <conditionalFormatting sqref="B50">
    <cfRule type="containsBlanks" dxfId="337" priority="1">
      <formula>LEN(TRIM(B50))=0</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79998168889431442"/>
  </sheetPr>
  <dimension ref="B3:C50"/>
  <sheetViews>
    <sheetView zoomScale="75" zoomScaleNormal="75" workbookViewId="0">
      <selection activeCell="N46" sqref="N46"/>
    </sheetView>
  </sheetViews>
  <sheetFormatPr baseColWidth="10" defaultColWidth="9.1328125" defaultRowHeight="14.25" x14ac:dyDescent="0.45"/>
  <cols>
    <col min="2" max="2" width="30.1328125" bestFit="1" customWidth="1"/>
  </cols>
  <sheetData>
    <row r="3" spans="2:3" ht="15.75" x14ac:dyDescent="0.5">
      <c r="B3" s="112" t="s">
        <v>139</v>
      </c>
    </row>
    <row r="4" spans="2:3" ht="14.65" thickBot="1" x14ac:dyDescent="0.5"/>
    <row r="5" spans="2:3" x14ac:dyDescent="0.45">
      <c r="B5" s="2" t="s">
        <v>0</v>
      </c>
      <c r="C5" s="7"/>
    </row>
    <row r="6" spans="2:3" x14ac:dyDescent="0.45">
      <c r="B6" s="3" t="s">
        <v>32</v>
      </c>
      <c r="C6" s="101">
        <f>Input!C59</f>
        <v>1</v>
      </c>
    </row>
    <row r="7" spans="2:3" x14ac:dyDescent="0.45">
      <c r="B7" s="3" t="s">
        <v>45</v>
      </c>
      <c r="C7" s="101">
        <f>Input!C42</f>
        <v>70</v>
      </c>
    </row>
    <row r="8" spans="2:3" x14ac:dyDescent="0.45">
      <c r="B8" s="3" t="s">
        <v>35</v>
      </c>
      <c r="C8" s="101">
        <f>Input!C61</f>
        <v>1</v>
      </c>
    </row>
    <row r="9" spans="2:3" x14ac:dyDescent="0.45">
      <c r="B9" s="3" t="s">
        <v>34</v>
      </c>
      <c r="C9" s="101">
        <f>'Ableitung Optionspreise'!H27</f>
        <v>6.8648048002898712</v>
      </c>
    </row>
    <row r="10" spans="2:3" ht="14.65" thickBot="1" x14ac:dyDescent="0.5">
      <c r="B10" s="6" t="s">
        <v>33</v>
      </c>
      <c r="C10" s="111">
        <f>Input!C44</f>
        <v>70</v>
      </c>
    </row>
    <row r="11" spans="2:3" x14ac:dyDescent="0.45">
      <c r="B11" s="36"/>
      <c r="C11" s="36"/>
    </row>
    <row r="19" spans="2:3" x14ac:dyDescent="0.45">
      <c r="B19" s="54" t="s">
        <v>4</v>
      </c>
      <c r="C19" s="55" t="s">
        <v>19</v>
      </c>
    </row>
    <row r="20" spans="2:3" x14ac:dyDescent="0.45">
      <c r="B20" s="109">
        <f>Input!C5</f>
        <v>0</v>
      </c>
      <c r="C20" s="56">
        <f>SUM((IF(B20&gt;$C$10,B20-$C$10-$C$9,-$C$9)*$C$8),($C$7-B20)*$C$6)</f>
        <v>63.135195199710125</v>
      </c>
    </row>
    <row r="21" spans="2:3" x14ac:dyDescent="0.45">
      <c r="B21" s="109">
        <f>Input!C6</f>
        <v>5</v>
      </c>
      <c r="C21" s="56">
        <f>SUM((IF(B21&gt;$C$10,B21-$C$10-$C$9,-$C$9)*$C$8),($C$7-B21)*$C$6)</f>
        <v>58.135195199710125</v>
      </c>
    </row>
    <row r="22" spans="2:3" x14ac:dyDescent="0.45">
      <c r="B22" s="109">
        <f>Input!C7</f>
        <v>10</v>
      </c>
      <c r="C22" s="56">
        <f t="shared" ref="C22:C48" si="0">SUM((IF(B22&gt;$C$10,B22-$C$10-$C$9,-$C$9)*$C$8),($C$7-B22)*$C$6)</f>
        <v>53.135195199710125</v>
      </c>
    </row>
    <row r="23" spans="2:3" x14ac:dyDescent="0.45">
      <c r="B23" s="109">
        <f>Input!C8</f>
        <v>15</v>
      </c>
      <c r="C23" s="56">
        <f t="shared" si="0"/>
        <v>48.135195199710125</v>
      </c>
    </row>
    <row r="24" spans="2:3" x14ac:dyDescent="0.45">
      <c r="B24" s="109">
        <f>Input!C9</f>
        <v>20</v>
      </c>
      <c r="C24" s="56">
        <f t="shared" si="0"/>
        <v>43.135195199710125</v>
      </c>
    </row>
    <row r="25" spans="2:3" x14ac:dyDescent="0.45">
      <c r="B25" s="109">
        <f>Input!C10</f>
        <v>25</v>
      </c>
      <c r="C25" s="56">
        <f>SUM((IF(B25&gt;$C$10,B25-$C$10-$C$9,-$C$9)*$C$8),($C$7-B25)*$C$6)</f>
        <v>38.135195199710125</v>
      </c>
    </row>
    <row r="26" spans="2:3" x14ac:dyDescent="0.45">
      <c r="B26" s="109">
        <f>Input!C11</f>
        <v>30</v>
      </c>
      <c r="C26" s="56">
        <f t="shared" si="0"/>
        <v>33.135195199710125</v>
      </c>
    </row>
    <row r="27" spans="2:3" x14ac:dyDescent="0.45">
      <c r="B27" s="109">
        <f>Input!C12</f>
        <v>35</v>
      </c>
      <c r="C27" s="56">
        <f t="shared" si="0"/>
        <v>28.135195199710129</v>
      </c>
    </row>
    <row r="28" spans="2:3" x14ac:dyDescent="0.45">
      <c r="B28" s="109">
        <f>Input!C13</f>
        <v>40</v>
      </c>
      <c r="C28" s="56">
        <f t="shared" si="0"/>
        <v>23.135195199710129</v>
      </c>
    </row>
    <row r="29" spans="2:3" x14ac:dyDescent="0.45">
      <c r="B29" s="109">
        <f>Input!C14</f>
        <v>45</v>
      </c>
      <c r="C29" s="56">
        <f t="shared" si="0"/>
        <v>18.135195199710129</v>
      </c>
    </row>
    <row r="30" spans="2:3" x14ac:dyDescent="0.45">
      <c r="B30" s="109">
        <f>Input!C15</f>
        <v>50</v>
      </c>
      <c r="C30" s="56">
        <f t="shared" si="0"/>
        <v>13.135195199710129</v>
      </c>
    </row>
    <row r="31" spans="2:3" x14ac:dyDescent="0.45">
      <c r="B31" s="109">
        <f>Input!C16</f>
        <v>55</v>
      </c>
      <c r="C31" s="56">
        <f t="shared" si="0"/>
        <v>8.1351951997101288</v>
      </c>
    </row>
    <row r="32" spans="2:3" x14ac:dyDescent="0.45">
      <c r="B32" s="109">
        <f>Input!C17</f>
        <v>60</v>
      </c>
      <c r="C32" s="56">
        <f t="shared" si="0"/>
        <v>3.1351951997101288</v>
      </c>
    </row>
    <row r="33" spans="2:3" x14ac:dyDescent="0.45">
      <c r="B33" s="109">
        <f>Input!C18</f>
        <v>65</v>
      </c>
      <c r="C33" s="56">
        <f t="shared" si="0"/>
        <v>-1.8648048002898712</v>
      </c>
    </row>
    <row r="34" spans="2:3" x14ac:dyDescent="0.45">
      <c r="B34" s="109">
        <f>Input!C19</f>
        <v>70</v>
      </c>
      <c r="C34" s="56">
        <f t="shared" si="0"/>
        <v>-6.8648048002898712</v>
      </c>
    </row>
    <row r="35" spans="2:3" x14ac:dyDescent="0.45">
      <c r="B35" s="109">
        <f>Input!C20</f>
        <v>75</v>
      </c>
      <c r="C35" s="56">
        <f t="shared" si="0"/>
        <v>-6.8648048002898712</v>
      </c>
    </row>
    <row r="36" spans="2:3" x14ac:dyDescent="0.45">
      <c r="B36" s="109">
        <f>Input!C21</f>
        <v>80</v>
      </c>
      <c r="C36" s="56">
        <f t="shared" si="0"/>
        <v>-6.8648048002898712</v>
      </c>
    </row>
    <row r="37" spans="2:3" x14ac:dyDescent="0.45">
      <c r="B37" s="109">
        <f>Input!C22</f>
        <v>85</v>
      </c>
      <c r="C37" s="56">
        <f t="shared" si="0"/>
        <v>-6.8648048002898712</v>
      </c>
    </row>
    <row r="38" spans="2:3" x14ac:dyDescent="0.45">
      <c r="B38" s="109">
        <f>Input!C23</f>
        <v>90</v>
      </c>
      <c r="C38" s="56">
        <f t="shared" si="0"/>
        <v>-6.8648048002898712</v>
      </c>
    </row>
    <row r="39" spans="2:3" x14ac:dyDescent="0.45">
      <c r="B39" s="109">
        <f>Input!C24</f>
        <v>95</v>
      </c>
      <c r="C39" s="56">
        <f t="shared" si="0"/>
        <v>-6.8648048002898712</v>
      </c>
    </row>
    <row r="40" spans="2:3" x14ac:dyDescent="0.45">
      <c r="B40" s="109">
        <f>Input!C25</f>
        <v>100</v>
      </c>
      <c r="C40" s="56">
        <f t="shared" si="0"/>
        <v>-6.8648048002898712</v>
      </c>
    </row>
    <row r="41" spans="2:3" x14ac:dyDescent="0.45">
      <c r="B41" s="109">
        <f>Input!C26</f>
        <v>105</v>
      </c>
      <c r="C41" s="56">
        <f t="shared" si="0"/>
        <v>-6.8648048002898712</v>
      </c>
    </row>
    <row r="42" spans="2:3" x14ac:dyDescent="0.45">
      <c r="B42" s="109">
        <f>Input!C27</f>
        <v>110</v>
      </c>
      <c r="C42" s="56">
        <f t="shared" si="0"/>
        <v>-6.8648048002898747</v>
      </c>
    </row>
    <row r="43" spans="2:3" x14ac:dyDescent="0.45">
      <c r="B43" s="109">
        <f>Input!C28</f>
        <v>115</v>
      </c>
      <c r="C43" s="56">
        <f t="shared" si="0"/>
        <v>-6.8648048002898747</v>
      </c>
    </row>
    <row r="44" spans="2:3" x14ac:dyDescent="0.45">
      <c r="B44" s="109">
        <f>Input!C29</f>
        <v>120</v>
      </c>
      <c r="C44" s="56">
        <f t="shared" si="0"/>
        <v>-6.8648048002898747</v>
      </c>
    </row>
    <row r="45" spans="2:3" x14ac:dyDescent="0.45">
      <c r="B45" s="109">
        <f>Input!C30</f>
        <v>125</v>
      </c>
      <c r="C45" s="56">
        <f t="shared" si="0"/>
        <v>-6.8648048002898747</v>
      </c>
    </row>
    <row r="46" spans="2:3" x14ac:dyDescent="0.45">
      <c r="B46" s="109">
        <f>Input!C31</f>
        <v>130</v>
      </c>
      <c r="C46" s="56">
        <f t="shared" si="0"/>
        <v>-6.8648048002898747</v>
      </c>
    </row>
    <row r="47" spans="2:3" x14ac:dyDescent="0.45">
      <c r="B47" s="109">
        <f>Input!C32</f>
        <v>135</v>
      </c>
      <c r="C47" s="56">
        <f t="shared" si="0"/>
        <v>-6.8648048002898747</v>
      </c>
    </row>
    <row r="48" spans="2:3" x14ac:dyDescent="0.45">
      <c r="B48" s="110">
        <f>Input!C33</f>
        <v>140</v>
      </c>
      <c r="C48" s="57">
        <f t="shared" si="0"/>
        <v>-6.8648048002898747</v>
      </c>
    </row>
    <row r="50" spans="2:3" x14ac:dyDescent="0.45">
      <c r="B50" s="296" t="s">
        <v>262</v>
      </c>
      <c r="C50" s="297">
        <f>-C9</f>
        <v>-6.8648048002898712</v>
      </c>
    </row>
  </sheetData>
  <conditionalFormatting sqref="A1:XFD4 A5:B5 D5:XFD5 A6:XFD11 A49:XFD49 A12:A48 D12:XFD48 B19:C48 A51:XFD1048576 A50 D50:XFD50">
    <cfRule type="containsBlanks" dxfId="336" priority="6">
      <formula>LEN(TRIM(A1))=0</formula>
    </cfRule>
  </conditionalFormatting>
  <conditionalFormatting sqref="B12:C18">
    <cfRule type="containsBlanks" dxfId="335" priority="5">
      <formula>LEN(TRIM(B12))=0</formula>
    </cfRule>
  </conditionalFormatting>
  <conditionalFormatting sqref="B50">
    <cfRule type="containsBlanks" dxfId="334" priority="2">
      <formula>LEN(TRIM(B50))=0</formula>
    </cfRule>
  </conditionalFormatting>
  <conditionalFormatting sqref="C50">
    <cfRule type="containsBlanks" dxfId="333" priority="1">
      <formula>LEN(TRIM(C50))=0</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7" tint="0.79998168889431442"/>
  </sheetPr>
  <dimension ref="B3:C50"/>
  <sheetViews>
    <sheetView zoomScale="72" zoomScaleNormal="72" workbookViewId="0">
      <selection activeCell="Q52" sqref="Q52"/>
    </sheetView>
  </sheetViews>
  <sheetFormatPr baseColWidth="10" defaultColWidth="9.1328125" defaultRowHeight="14.25" x14ac:dyDescent="0.45"/>
  <cols>
    <col min="2" max="2" width="45.3984375" bestFit="1" customWidth="1"/>
  </cols>
  <sheetData>
    <row r="3" spans="2:3" ht="15.75" x14ac:dyDescent="0.5">
      <c r="B3" s="112" t="s">
        <v>116</v>
      </c>
    </row>
    <row r="4" spans="2:3" ht="14.65" thickBot="1" x14ac:dyDescent="0.5"/>
    <row r="5" spans="2:3" x14ac:dyDescent="0.45">
      <c r="B5" s="2" t="s">
        <v>0</v>
      </c>
      <c r="C5" s="7"/>
    </row>
    <row r="6" spans="2:3" x14ac:dyDescent="0.45">
      <c r="B6" s="3" t="s">
        <v>55</v>
      </c>
      <c r="C6" s="101">
        <f>Input!C61</f>
        <v>1</v>
      </c>
    </row>
    <row r="7" spans="2:3" x14ac:dyDescent="0.45">
      <c r="B7" s="3" t="s">
        <v>56</v>
      </c>
      <c r="C7" s="101">
        <f>Input!C48</f>
        <v>5.46</v>
      </c>
    </row>
    <row r="8" spans="2:3" x14ac:dyDescent="0.45">
      <c r="B8" s="3" t="s">
        <v>57</v>
      </c>
      <c r="C8" s="101">
        <f>Input!C46</f>
        <v>74</v>
      </c>
    </row>
    <row r="9" spans="2:3" x14ac:dyDescent="0.45">
      <c r="B9" s="3" t="s">
        <v>58</v>
      </c>
      <c r="C9" s="101">
        <f>Input!C61</f>
        <v>1</v>
      </c>
    </row>
    <row r="10" spans="2:3" x14ac:dyDescent="0.45">
      <c r="B10" s="3" t="s">
        <v>60</v>
      </c>
      <c r="C10" s="101">
        <f>Input!C49</f>
        <v>8.56</v>
      </c>
    </row>
    <row r="11" spans="2:3" x14ac:dyDescent="0.45">
      <c r="B11" s="3" t="s">
        <v>59</v>
      </c>
      <c r="C11" s="101">
        <f>Input!C47</f>
        <v>66</v>
      </c>
    </row>
    <row r="12" spans="2:3" x14ac:dyDescent="0.45">
      <c r="B12" s="3" t="s">
        <v>61</v>
      </c>
      <c r="C12" s="101">
        <f>Input!C61</f>
        <v>1</v>
      </c>
    </row>
    <row r="13" spans="2:3" x14ac:dyDescent="0.45">
      <c r="B13" s="3" t="s">
        <v>62</v>
      </c>
      <c r="C13" s="101">
        <f>'Ableitung Optionspreise'!L27</f>
        <v>6.1273274075246036</v>
      </c>
    </row>
    <row r="14" spans="2:3" x14ac:dyDescent="0.45">
      <c r="B14" s="3" t="s">
        <v>63</v>
      </c>
      <c r="C14" s="101">
        <f>Input!C45</f>
        <v>72</v>
      </c>
    </row>
    <row r="15" spans="2:3" x14ac:dyDescent="0.45">
      <c r="B15" s="3" t="s">
        <v>64</v>
      </c>
      <c r="C15" s="101">
        <f>Input!C61</f>
        <v>1</v>
      </c>
    </row>
    <row r="16" spans="2:3" x14ac:dyDescent="0.45">
      <c r="B16" s="3" t="s">
        <v>65</v>
      </c>
      <c r="C16" s="101">
        <f>'Ableitung Optionspreise'!C27</f>
        <v>7.6746297338894109</v>
      </c>
    </row>
    <row r="17" spans="2:3" ht="14.65" thickBot="1" x14ac:dyDescent="0.5">
      <c r="B17" s="6" t="s">
        <v>66</v>
      </c>
      <c r="C17" s="111">
        <f>Input!C43</f>
        <v>68</v>
      </c>
    </row>
    <row r="18" spans="2:3" x14ac:dyDescent="0.45">
      <c r="B18" s="36"/>
      <c r="C18" s="36"/>
    </row>
    <row r="19" spans="2:3" x14ac:dyDescent="0.45">
      <c r="B19" s="54" t="s">
        <v>4</v>
      </c>
      <c r="C19" s="55" t="s">
        <v>19</v>
      </c>
    </row>
    <row r="20" spans="2:3" x14ac:dyDescent="0.45">
      <c r="B20" s="109">
        <f>Input!C5</f>
        <v>0</v>
      </c>
      <c r="C20" s="56">
        <f>SUM(IF(B20&gt;$C$8,B20-$C$8-$C$7,-$C$7)*$C$6,IF(B20&gt;$C$11,B20-$C$11-$C$10,-$C$10)*$C$9,IF(B20&gt;$C$14,$C$14-B20+$C$13,$C$13)*$C$12,IF(B20&gt;$C$17,$C$17-B20+$C$16,$C$16)*$C$15)</f>
        <v>-0.21804285858598504</v>
      </c>
    </row>
    <row r="21" spans="2:3" x14ac:dyDescent="0.45">
      <c r="B21" s="109">
        <f>Input!C6</f>
        <v>5</v>
      </c>
      <c r="C21" s="56">
        <f t="shared" ref="C21:C48" si="0">SUM(IF(B21&gt;$C$8,B21-$C$8-$C$7,-$C$7)*$C$6,IF(B21&gt;$C$11,B21-$C$11-$C$10,-$C$10)*$C$9,IF(B21&gt;$C$14,$C$14-B21+$C$13,$C$13)*$C$12,IF(B21&gt;$C$17,$C$17-B21+$C$16,$C$16)*$C$15)</f>
        <v>-0.21804285858598504</v>
      </c>
    </row>
    <row r="22" spans="2:3" x14ac:dyDescent="0.45">
      <c r="B22" s="109">
        <f>Input!C7</f>
        <v>10</v>
      </c>
      <c r="C22" s="56">
        <f>SUM(IF(B22&gt;$C$8,B22-$C$8-$C$7,-$C$7)*$C$6,IF(B22&gt;$C$11,B22-$C$11-$C$10,-$C$10)*$C$9,IF(B22&gt;$C$14,$C$14-B22+$C$13,$C$13)*$C$12,IF(B22&gt;$C$17,$C$17-B22+$C$16,$C$16)*$C$15)</f>
        <v>-0.21804285858598504</v>
      </c>
    </row>
    <row r="23" spans="2:3" x14ac:dyDescent="0.45">
      <c r="B23" s="109">
        <f>Input!C8</f>
        <v>15</v>
      </c>
      <c r="C23" s="56">
        <f t="shared" si="0"/>
        <v>-0.21804285858598504</v>
      </c>
    </row>
    <row r="24" spans="2:3" x14ac:dyDescent="0.45">
      <c r="B24" s="109">
        <f>Input!C9</f>
        <v>20</v>
      </c>
      <c r="C24" s="56">
        <f t="shared" si="0"/>
        <v>-0.21804285858598504</v>
      </c>
    </row>
    <row r="25" spans="2:3" x14ac:dyDescent="0.45">
      <c r="B25" s="109">
        <f>Input!C10</f>
        <v>25</v>
      </c>
      <c r="C25" s="56">
        <f t="shared" si="0"/>
        <v>-0.21804285858598504</v>
      </c>
    </row>
    <row r="26" spans="2:3" x14ac:dyDescent="0.45">
      <c r="B26" s="109">
        <f>Input!C11</f>
        <v>30</v>
      </c>
      <c r="C26" s="56">
        <f t="shared" si="0"/>
        <v>-0.21804285858598504</v>
      </c>
    </row>
    <row r="27" spans="2:3" x14ac:dyDescent="0.45">
      <c r="B27" s="109">
        <f>Input!C12</f>
        <v>35</v>
      </c>
      <c r="C27" s="56">
        <f t="shared" si="0"/>
        <v>-0.21804285858598504</v>
      </c>
    </row>
    <row r="28" spans="2:3" x14ac:dyDescent="0.45">
      <c r="B28" s="109">
        <f>Input!C13</f>
        <v>40</v>
      </c>
      <c r="C28" s="56">
        <f t="shared" si="0"/>
        <v>-0.21804285858598504</v>
      </c>
    </row>
    <row r="29" spans="2:3" x14ac:dyDescent="0.45">
      <c r="B29" s="109">
        <f>Input!C14</f>
        <v>45</v>
      </c>
      <c r="C29" s="56">
        <f t="shared" si="0"/>
        <v>-0.21804285858598504</v>
      </c>
    </row>
    <row r="30" spans="2:3" x14ac:dyDescent="0.45">
      <c r="B30" s="109">
        <f>Input!C15</f>
        <v>50</v>
      </c>
      <c r="C30" s="56">
        <f t="shared" si="0"/>
        <v>-0.21804285858598504</v>
      </c>
    </row>
    <row r="31" spans="2:3" x14ac:dyDescent="0.45">
      <c r="B31" s="109">
        <f>Input!C16</f>
        <v>55</v>
      </c>
      <c r="C31" s="56">
        <f t="shared" si="0"/>
        <v>-0.21804285858598504</v>
      </c>
    </row>
    <row r="32" spans="2:3" x14ac:dyDescent="0.45">
      <c r="B32" s="109">
        <f>Input!C17</f>
        <v>60</v>
      </c>
      <c r="C32" s="56">
        <f t="shared" si="0"/>
        <v>-0.21804285858598504</v>
      </c>
    </row>
    <row r="33" spans="2:3" x14ac:dyDescent="0.45">
      <c r="B33" s="109">
        <f>Input!C18</f>
        <v>65</v>
      </c>
      <c r="C33" s="56">
        <f t="shared" si="0"/>
        <v>-0.21804285858598504</v>
      </c>
    </row>
    <row r="34" spans="2:3" x14ac:dyDescent="0.45">
      <c r="B34" s="109">
        <f>Input!C19</f>
        <v>70</v>
      </c>
      <c r="C34" s="56">
        <f t="shared" si="0"/>
        <v>1.781957141414015</v>
      </c>
    </row>
    <row r="35" spans="2:3" x14ac:dyDescent="0.45">
      <c r="B35" s="109">
        <f>Input!C20</f>
        <v>75</v>
      </c>
      <c r="C35" s="56">
        <f t="shared" si="0"/>
        <v>-0.21804285858598593</v>
      </c>
    </row>
    <row r="36" spans="2:3" x14ac:dyDescent="0.45">
      <c r="B36" s="109">
        <f>Input!C21</f>
        <v>80</v>
      </c>
      <c r="C36" s="56">
        <f t="shared" si="0"/>
        <v>-0.21804285858598593</v>
      </c>
    </row>
    <row r="37" spans="2:3" x14ac:dyDescent="0.45">
      <c r="B37" s="109">
        <f>Input!C22</f>
        <v>85</v>
      </c>
      <c r="C37" s="56">
        <f t="shared" si="0"/>
        <v>-0.21804285858598504</v>
      </c>
    </row>
    <row r="38" spans="2:3" x14ac:dyDescent="0.45">
      <c r="B38" s="109">
        <f>Input!C23</f>
        <v>90</v>
      </c>
      <c r="C38" s="56">
        <f t="shared" si="0"/>
        <v>-0.2180428585859886</v>
      </c>
    </row>
    <row r="39" spans="2:3" x14ac:dyDescent="0.45">
      <c r="B39" s="109">
        <f>Input!C24</f>
        <v>95</v>
      </c>
      <c r="C39" s="56">
        <f t="shared" si="0"/>
        <v>-0.2180428585859886</v>
      </c>
    </row>
    <row r="40" spans="2:3" x14ac:dyDescent="0.45">
      <c r="B40" s="109">
        <f>Input!C25</f>
        <v>100</v>
      </c>
      <c r="C40" s="56">
        <f t="shared" si="0"/>
        <v>-0.2180428585859886</v>
      </c>
    </row>
    <row r="41" spans="2:3" x14ac:dyDescent="0.45">
      <c r="B41" s="109">
        <f>Input!C26</f>
        <v>105</v>
      </c>
      <c r="C41" s="56">
        <f t="shared" si="0"/>
        <v>-0.2180428585859886</v>
      </c>
    </row>
    <row r="42" spans="2:3" x14ac:dyDescent="0.45">
      <c r="B42" s="109">
        <f>Input!C27</f>
        <v>110</v>
      </c>
      <c r="C42" s="56">
        <f t="shared" si="0"/>
        <v>-0.2180428585859957</v>
      </c>
    </row>
    <row r="43" spans="2:3" x14ac:dyDescent="0.45">
      <c r="B43" s="109">
        <f>Input!C28</f>
        <v>115</v>
      </c>
      <c r="C43" s="56">
        <f t="shared" si="0"/>
        <v>-0.2180428585859957</v>
      </c>
    </row>
    <row r="44" spans="2:3" x14ac:dyDescent="0.45">
      <c r="B44" s="109">
        <f>Input!C29</f>
        <v>120</v>
      </c>
      <c r="C44" s="56">
        <f t="shared" si="0"/>
        <v>-0.2180428585859957</v>
      </c>
    </row>
    <row r="45" spans="2:3" x14ac:dyDescent="0.45">
      <c r="B45" s="109">
        <f>Input!C30</f>
        <v>125</v>
      </c>
      <c r="C45" s="56">
        <f t="shared" si="0"/>
        <v>-0.2180428585859957</v>
      </c>
    </row>
    <row r="46" spans="2:3" x14ac:dyDescent="0.45">
      <c r="B46" s="109">
        <f>Input!C31</f>
        <v>130</v>
      </c>
      <c r="C46" s="56">
        <f t="shared" si="0"/>
        <v>-0.2180428585859957</v>
      </c>
    </row>
    <row r="47" spans="2:3" x14ac:dyDescent="0.45">
      <c r="B47" s="109">
        <f>Input!C32</f>
        <v>135</v>
      </c>
      <c r="C47" s="56">
        <f t="shared" si="0"/>
        <v>-0.2180428585859957</v>
      </c>
    </row>
    <row r="48" spans="2:3" x14ac:dyDescent="0.45">
      <c r="B48" s="110">
        <f>Input!C33</f>
        <v>140</v>
      </c>
      <c r="C48" s="57">
        <f t="shared" si="0"/>
        <v>-0.2180428585859886</v>
      </c>
    </row>
    <row r="50" spans="2:3" x14ac:dyDescent="0.45">
      <c r="B50" s="296" t="s">
        <v>262</v>
      </c>
      <c r="C50" s="297">
        <f>C16+C13-C10-C7</f>
        <v>-0.21804285858598593</v>
      </c>
    </row>
  </sheetData>
  <conditionalFormatting sqref="A1:XFD4 A5:B5 D5:XFD5 A51:XFD1048576 A50 D50:XFD50 A6:XFD49">
    <cfRule type="containsBlanks" dxfId="332" priority="5">
      <formula>LEN(TRIM(A1))=0</formula>
    </cfRule>
  </conditionalFormatting>
  <conditionalFormatting sqref="B50">
    <cfRule type="containsBlanks" dxfId="331" priority="2">
      <formula>LEN(TRIM(B50))=0</formula>
    </cfRule>
  </conditionalFormatting>
  <conditionalFormatting sqref="C50">
    <cfRule type="containsBlanks" dxfId="330" priority="1">
      <formula>LEN(TRIM(C50))=0</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7" tint="0.79998168889431442"/>
  </sheetPr>
  <dimension ref="B3:C50"/>
  <sheetViews>
    <sheetView zoomScale="76" zoomScaleNormal="76" workbookViewId="0">
      <selection activeCell="Q52" sqref="Q52"/>
    </sheetView>
  </sheetViews>
  <sheetFormatPr baseColWidth="10" defaultColWidth="9.1328125" defaultRowHeight="14.25" x14ac:dyDescent="0.45"/>
  <cols>
    <col min="2" max="2" width="45.3984375" bestFit="1" customWidth="1"/>
  </cols>
  <sheetData>
    <row r="3" spans="2:3" ht="15.75" x14ac:dyDescent="0.5">
      <c r="B3" s="112" t="s">
        <v>117</v>
      </c>
    </row>
    <row r="4" spans="2:3" ht="14.65" thickBot="1" x14ac:dyDescent="0.5"/>
    <row r="5" spans="2:3" x14ac:dyDescent="0.45">
      <c r="B5" s="2" t="s">
        <v>0</v>
      </c>
      <c r="C5" s="7"/>
    </row>
    <row r="6" spans="2:3" x14ac:dyDescent="0.45">
      <c r="B6" s="3" t="s">
        <v>67</v>
      </c>
      <c r="C6" s="101">
        <f>Input!C61</f>
        <v>1</v>
      </c>
    </row>
    <row r="7" spans="2:3" x14ac:dyDescent="0.45">
      <c r="B7" s="3" t="s">
        <v>68</v>
      </c>
      <c r="C7" s="101">
        <f>'Ableitung Optionspreise'!L27</f>
        <v>6.1273274075246036</v>
      </c>
    </row>
    <row r="8" spans="2:3" x14ac:dyDescent="0.45">
      <c r="B8" s="3" t="s">
        <v>69</v>
      </c>
      <c r="C8" s="101">
        <f>Input!C45</f>
        <v>72</v>
      </c>
    </row>
    <row r="9" spans="2:3" x14ac:dyDescent="0.45">
      <c r="B9" s="3" t="s">
        <v>70</v>
      </c>
      <c r="C9" s="101">
        <f>Input!C61</f>
        <v>1</v>
      </c>
    </row>
    <row r="10" spans="2:3" x14ac:dyDescent="0.45">
      <c r="B10" s="3" t="s">
        <v>71</v>
      </c>
      <c r="C10" s="101">
        <f>'Ableitung Optionspreise'!C27</f>
        <v>7.6746297338894109</v>
      </c>
    </row>
    <row r="11" spans="2:3" x14ac:dyDescent="0.45">
      <c r="B11" s="3" t="s">
        <v>72</v>
      </c>
      <c r="C11" s="101">
        <f>Input!C43</f>
        <v>68</v>
      </c>
    </row>
    <row r="12" spans="2:3" x14ac:dyDescent="0.45">
      <c r="B12" s="3" t="s">
        <v>36</v>
      </c>
      <c r="C12" s="101">
        <f>Input!C62</f>
        <v>2</v>
      </c>
    </row>
    <row r="13" spans="2:3" x14ac:dyDescent="0.45">
      <c r="B13" s="3" t="s">
        <v>37</v>
      </c>
      <c r="C13" s="101">
        <f>'Ableitung Optionspreise'!H27</f>
        <v>6.8648048002898712</v>
      </c>
    </row>
    <row r="14" spans="2:3" ht="14.65" thickBot="1" x14ac:dyDescent="0.5">
      <c r="B14" s="6" t="s">
        <v>38</v>
      </c>
      <c r="C14" s="111">
        <f>Input!C44</f>
        <v>70</v>
      </c>
    </row>
    <row r="19" spans="2:3" x14ac:dyDescent="0.45">
      <c r="B19" s="54" t="s">
        <v>4</v>
      </c>
      <c r="C19" s="55" t="s">
        <v>19</v>
      </c>
    </row>
    <row r="20" spans="2:3" x14ac:dyDescent="0.45">
      <c r="B20" s="109">
        <f>Input!C5</f>
        <v>0</v>
      </c>
      <c r="C20" s="56">
        <f>SUM(IF(B20&gt;$C$8,B20-$C$8-$C$7,-$C$7)*$C$6,IF(B20&gt;$C$11,B20-$C$11-$C$10,-$C$10)*$C$9,IF(B20&gt;$C$14,$C$14-B20+$C$13,$C$13)*$C$12)</f>
        <v>-7.2347540834272195E-2</v>
      </c>
    </row>
    <row r="21" spans="2:3" x14ac:dyDescent="0.45">
      <c r="B21" s="109">
        <f>Input!C6</f>
        <v>5</v>
      </c>
      <c r="C21" s="56">
        <f>SUM(IF(B21&gt;$C$8,B21-$C$8-$C$7,-$C$7)*$C$6,IF(B21&gt;$C$11,B21-$C$11-$C$10,-$C$10)*$C$9,IF(B21&gt;$C$14,$C$14-B21+$C$13,$C$13)*$C$12)</f>
        <v>-7.2347540834272195E-2</v>
      </c>
    </row>
    <row r="22" spans="2:3" x14ac:dyDescent="0.45">
      <c r="B22" s="109">
        <f>Input!C7</f>
        <v>10</v>
      </c>
      <c r="C22" s="56">
        <f t="shared" ref="C22:C48" si="0">SUM(IF(B22&gt;$C$8,B22-$C$8-$C$7,-$C$7)*$C$6,IF(B22&gt;$C$11,B22-$C$11-$C$10,-$C$10)*$C$9,IF(B22&gt;$C$14,$C$14-B22+$C$13,$C$13)*$C$12)</f>
        <v>-7.2347540834272195E-2</v>
      </c>
    </row>
    <row r="23" spans="2:3" x14ac:dyDescent="0.45">
      <c r="B23" s="109">
        <f>Input!C8</f>
        <v>15</v>
      </c>
      <c r="C23" s="56">
        <f t="shared" si="0"/>
        <v>-7.2347540834272195E-2</v>
      </c>
    </row>
    <row r="24" spans="2:3" x14ac:dyDescent="0.45">
      <c r="B24" s="109">
        <f>Input!C9</f>
        <v>20</v>
      </c>
      <c r="C24" s="56">
        <f t="shared" si="0"/>
        <v>-7.2347540834272195E-2</v>
      </c>
    </row>
    <row r="25" spans="2:3" x14ac:dyDescent="0.45">
      <c r="B25" s="109">
        <f>Input!C10</f>
        <v>25</v>
      </c>
      <c r="C25" s="56">
        <f t="shared" si="0"/>
        <v>-7.2347540834272195E-2</v>
      </c>
    </row>
    <row r="26" spans="2:3" x14ac:dyDescent="0.45">
      <c r="B26" s="109">
        <f>Input!C11</f>
        <v>30</v>
      </c>
      <c r="C26" s="56">
        <f t="shared" si="0"/>
        <v>-7.2347540834272195E-2</v>
      </c>
    </row>
    <row r="27" spans="2:3" x14ac:dyDescent="0.45">
      <c r="B27" s="109">
        <f>Input!C12</f>
        <v>35</v>
      </c>
      <c r="C27" s="56">
        <f t="shared" si="0"/>
        <v>-7.2347540834272195E-2</v>
      </c>
    </row>
    <row r="28" spans="2:3" x14ac:dyDescent="0.45">
      <c r="B28" s="109">
        <f>Input!C13</f>
        <v>40</v>
      </c>
      <c r="C28" s="56">
        <f t="shared" si="0"/>
        <v>-7.2347540834272195E-2</v>
      </c>
    </row>
    <row r="29" spans="2:3" x14ac:dyDescent="0.45">
      <c r="B29" s="109">
        <f>Input!C14</f>
        <v>45</v>
      </c>
      <c r="C29" s="56">
        <f t="shared" si="0"/>
        <v>-7.2347540834272195E-2</v>
      </c>
    </row>
    <row r="30" spans="2:3" x14ac:dyDescent="0.45">
      <c r="B30" s="109">
        <f>Input!C15</f>
        <v>50</v>
      </c>
      <c r="C30" s="56">
        <f t="shared" si="0"/>
        <v>-7.2347540834272195E-2</v>
      </c>
    </row>
    <row r="31" spans="2:3" x14ac:dyDescent="0.45">
      <c r="B31" s="109">
        <f>Input!C16</f>
        <v>55</v>
      </c>
      <c r="C31" s="56">
        <f t="shared" si="0"/>
        <v>-7.2347540834272195E-2</v>
      </c>
    </row>
    <row r="32" spans="2:3" x14ac:dyDescent="0.45">
      <c r="B32" s="109">
        <f>Input!C17</f>
        <v>60</v>
      </c>
      <c r="C32" s="56">
        <f t="shared" si="0"/>
        <v>-7.2347540834272195E-2</v>
      </c>
    </row>
    <row r="33" spans="2:3" x14ac:dyDescent="0.45">
      <c r="B33" s="109">
        <f>Input!C18</f>
        <v>65</v>
      </c>
      <c r="C33" s="56">
        <f t="shared" si="0"/>
        <v>-7.2347540834272195E-2</v>
      </c>
    </row>
    <row r="34" spans="2:3" x14ac:dyDescent="0.45">
      <c r="B34" s="109">
        <f>Input!C19</f>
        <v>70</v>
      </c>
      <c r="C34" s="56">
        <f t="shared" si="0"/>
        <v>1.9276524591657278</v>
      </c>
    </row>
    <row r="35" spans="2:3" x14ac:dyDescent="0.45">
      <c r="B35" s="109">
        <f>Input!C20</f>
        <v>75</v>
      </c>
      <c r="C35" s="56">
        <f t="shared" si="0"/>
        <v>-7.2347540834272195E-2</v>
      </c>
    </row>
    <row r="36" spans="2:3" x14ac:dyDescent="0.45">
      <c r="B36" s="109">
        <f>Input!C21</f>
        <v>80</v>
      </c>
      <c r="C36" s="56">
        <f t="shared" si="0"/>
        <v>-7.2347540834272195E-2</v>
      </c>
    </row>
    <row r="37" spans="2:3" x14ac:dyDescent="0.45">
      <c r="B37" s="109">
        <f>Input!C22</f>
        <v>85</v>
      </c>
      <c r="C37" s="56">
        <f t="shared" si="0"/>
        <v>-7.2347540834272195E-2</v>
      </c>
    </row>
    <row r="38" spans="2:3" x14ac:dyDescent="0.45">
      <c r="B38" s="109">
        <f>Input!C23</f>
        <v>90</v>
      </c>
      <c r="C38" s="56">
        <f t="shared" si="0"/>
        <v>-7.2347540834272195E-2</v>
      </c>
    </row>
    <row r="39" spans="2:3" x14ac:dyDescent="0.45">
      <c r="B39" s="109">
        <f>Input!C24</f>
        <v>95</v>
      </c>
      <c r="C39" s="56">
        <f t="shared" si="0"/>
        <v>-7.2347540834272195E-2</v>
      </c>
    </row>
    <row r="40" spans="2:3" x14ac:dyDescent="0.45">
      <c r="B40" s="109">
        <f>Input!C25</f>
        <v>100</v>
      </c>
      <c r="C40" s="56">
        <f t="shared" si="0"/>
        <v>-7.2347540834272195E-2</v>
      </c>
    </row>
    <row r="41" spans="2:3" x14ac:dyDescent="0.45">
      <c r="B41" s="109">
        <f>Input!C26</f>
        <v>105</v>
      </c>
      <c r="C41" s="56">
        <f t="shared" si="0"/>
        <v>-7.2347540834272195E-2</v>
      </c>
    </row>
    <row r="42" spans="2:3" x14ac:dyDescent="0.45">
      <c r="B42" s="109">
        <f>Input!C27</f>
        <v>110</v>
      </c>
      <c r="C42" s="56">
        <f t="shared" si="0"/>
        <v>-7.2347540834272195E-2</v>
      </c>
    </row>
    <row r="43" spans="2:3" x14ac:dyDescent="0.45">
      <c r="B43" s="109">
        <f>Input!C28</f>
        <v>115</v>
      </c>
      <c r="C43" s="56">
        <f t="shared" si="0"/>
        <v>-7.2347540834272195E-2</v>
      </c>
    </row>
    <row r="44" spans="2:3" x14ac:dyDescent="0.45">
      <c r="B44" s="109">
        <f>Input!C29</f>
        <v>120</v>
      </c>
      <c r="C44" s="56">
        <f t="shared" si="0"/>
        <v>-7.2347540834272195E-2</v>
      </c>
    </row>
    <row r="45" spans="2:3" x14ac:dyDescent="0.45">
      <c r="B45" s="109">
        <f>Input!C30</f>
        <v>125</v>
      </c>
      <c r="C45" s="56">
        <f t="shared" si="0"/>
        <v>-7.2347540834272195E-2</v>
      </c>
    </row>
    <row r="46" spans="2:3" x14ac:dyDescent="0.45">
      <c r="B46" s="109">
        <f>Input!C31</f>
        <v>130</v>
      </c>
      <c r="C46" s="56">
        <f t="shared" si="0"/>
        <v>-7.2347540834272195E-2</v>
      </c>
    </row>
    <row r="47" spans="2:3" x14ac:dyDescent="0.45">
      <c r="B47" s="109">
        <f>Input!C32</f>
        <v>135</v>
      </c>
      <c r="C47" s="56">
        <f t="shared" si="0"/>
        <v>-7.2347540834272195E-2</v>
      </c>
    </row>
    <row r="48" spans="2:3" x14ac:dyDescent="0.45">
      <c r="B48" s="110">
        <f>Input!C33</f>
        <v>140</v>
      </c>
      <c r="C48" s="57">
        <f t="shared" si="0"/>
        <v>-7.2347540834272195E-2</v>
      </c>
    </row>
    <row r="50" spans="2:3" x14ac:dyDescent="0.45">
      <c r="B50" s="296" t="s">
        <v>262</v>
      </c>
      <c r="C50" s="297">
        <f>(C12*C13)-C10-C7</f>
        <v>-7.2347540834272195E-2</v>
      </c>
    </row>
  </sheetData>
  <conditionalFormatting sqref="A1:XFD4 A5:B5 D5:XFD5 A6:XFD14 A49:XFD49 A15:A48 D15:XFD48 B19:C48 A51:XFD1048576 A50 D50:XFD50">
    <cfRule type="containsBlanks" dxfId="329" priority="6">
      <formula>LEN(TRIM(A1))=0</formula>
    </cfRule>
  </conditionalFormatting>
  <conditionalFormatting sqref="B15:C18">
    <cfRule type="containsBlanks" dxfId="328" priority="5">
      <formula>LEN(TRIM(B15))=0</formula>
    </cfRule>
  </conditionalFormatting>
  <conditionalFormatting sqref="B50">
    <cfRule type="containsBlanks" dxfId="327" priority="2">
      <formula>LEN(TRIM(B50))=0</formula>
    </cfRule>
  </conditionalFormatting>
  <conditionalFormatting sqref="C50">
    <cfRule type="containsBlanks" dxfId="326" priority="1">
      <formula>LEN(TRIM(C50))=0</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2:M34"/>
  <sheetViews>
    <sheetView zoomScale="78" zoomScaleNormal="78" workbookViewId="0">
      <selection activeCell="L45" sqref="L45"/>
    </sheetView>
  </sheetViews>
  <sheetFormatPr baseColWidth="10" defaultColWidth="9.1328125" defaultRowHeight="14.25" x14ac:dyDescent="0.45"/>
  <cols>
    <col min="2" max="2" width="54.86328125" bestFit="1" customWidth="1"/>
    <col min="3" max="3" width="12.3984375" customWidth="1"/>
    <col min="7" max="7" width="54.86328125" bestFit="1" customWidth="1"/>
    <col min="11" max="11" width="54.86328125" bestFit="1" customWidth="1"/>
  </cols>
  <sheetData>
    <row r="2" spans="1:12" x14ac:dyDescent="0.45">
      <c r="A2" s="14"/>
      <c r="F2" s="14"/>
      <c r="J2" s="14"/>
    </row>
    <row r="3" spans="1:12" ht="15.4" x14ac:dyDescent="0.45">
      <c r="A3" s="14"/>
      <c r="B3" s="15" t="s">
        <v>194</v>
      </c>
      <c r="F3" s="14"/>
      <c r="G3" s="15" t="s">
        <v>195</v>
      </c>
      <c r="J3" s="14"/>
      <c r="K3" s="15" t="s">
        <v>196</v>
      </c>
    </row>
    <row r="4" spans="1:12" ht="15.4" x14ac:dyDescent="0.45">
      <c r="A4" s="14"/>
      <c r="B4" s="15"/>
      <c r="F4" s="14"/>
      <c r="G4" s="15"/>
      <c r="J4" s="14"/>
      <c r="K4" s="15"/>
    </row>
    <row r="5" spans="1:12" ht="15.4" x14ac:dyDescent="0.45">
      <c r="A5" s="14"/>
      <c r="B5" s="15"/>
      <c r="F5" s="14"/>
      <c r="G5" s="15"/>
      <c r="J5" s="14"/>
      <c r="K5" s="15"/>
    </row>
    <row r="6" spans="1:12" x14ac:dyDescent="0.45">
      <c r="A6" s="14"/>
      <c r="B6" s="59" t="s">
        <v>0</v>
      </c>
      <c r="C6" s="60"/>
      <c r="F6" s="14"/>
      <c r="G6" s="59" t="s">
        <v>0</v>
      </c>
      <c r="H6" s="60"/>
      <c r="J6" s="14"/>
      <c r="K6" s="59" t="s">
        <v>0</v>
      </c>
      <c r="L6" s="60"/>
    </row>
    <row r="7" spans="1:12" x14ac:dyDescent="0.45">
      <c r="A7" s="14"/>
      <c r="B7" s="147" t="s">
        <v>4</v>
      </c>
      <c r="C7" s="105">
        <f>Input!C42</f>
        <v>70</v>
      </c>
      <c r="F7" s="14"/>
      <c r="G7" s="147" t="s">
        <v>4</v>
      </c>
      <c r="H7" s="105">
        <f>Input!C42</f>
        <v>70</v>
      </c>
      <c r="J7" s="14"/>
      <c r="K7" s="147" t="s">
        <v>4</v>
      </c>
      <c r="L7" s="105">
        <f>Input!C42</f>
        <v>70</v>
      </c>
    </row>
    <row r="8" spans="1:12" x14ac:dyDescent="0.45">
      <c r="A8" s="14"/>
      <c r="B8" s="148" t="s">
        <v>8</v>
      </c>
      <c r="C8" s="149">
        <f>Input!C43</f>
        <v>68</v>
      </c>
      <c r="F8" s="14"/>
      <c r="G8" s="148" t="s">
        <v>8</v>
      </c>
      <c r="H8" s="149">
        <f>Input!C44</f>
        <v>70</v>
      </c>
      <c r="J8" s="14"/>
      <c r="K8" s="148" t="s">
        <v>8</v>
      </c>
      <c r="L8" s="149">
        <f>Input!C45</f>
        <v>72</v>
      </c>
    </row>
    <row r="9" spans="1:12" x14ac:dyDescent="0.45">
      <c r="A9" s="14"/>
      <c r="B9" s="148" t="s">
        <v>9</v>
      </c>
      <c r="C9" s="150">
        <f>Input!C50</f>
        <v>4.8500000000000001E-2</v>
      </c>
      <c r="F9" s="14"/>
      <c r="G9" s="148" t="s">
        <v>9</v>
      </c>
      <c r="H9" s="150">
        <f>Input!C50</f>
        <v>4.8500000000000001E-2</v>
      </c>
      <c r="J9" s="14"/>
      <c r="K9" s="148" t="s">
        <v>9</v>
      </c>
      <c r="L9" s="150">
        <f>Input!C50</f>
        <v>4.8500000000000001E-2</v>
      </c>
    </row>
    <row r="10" spans="1:12" x14ac:dyDescent="0.45">
      <c r="A10" s="14"/>
      <c r="B10" s="148" t="s">
        <v>10</v>
      </c>
      <c r="C10" s="151">
        <f>Input!C51</f>
        <v>1</v>
      </c>
      <c r="F10" s="14"/>
      <c r="G10" s="148" t="s">
        <v>10</v>
      </c>
      <c r="H10" s="151">
        <f>Input!C51</f>
        <v>1</v>
      </c>
      <c r="J10" s="14"/>
      <c r="K10" s="148" t="s">
        <v>10</v>
      </c>
      <c r="L10" s="151">
        <f>Input!C51</f>
        <v>1</v>
      </c>
    </row>
    <row r="11" spans="1:12" x14ac:dyDescent="0.45">
      <c r="A11" s="14"/>
      <c r="B11" s="148" t="s">
        <v>11</v>
      </c>
      <c r="C11" s="150">
        <f>Input!C52</f>
        <v>0.3</v>
      </c>
      <c r="F11" s="14"/>
      <c r="G11" s="148" t="s">
        <v>11</v>
      </c>
      <c r="H11" s="150">
        <f>Input!C52</f>
        <v>0.3</v>
      </c>
      <c r="J11" s="14"/>
      <c r="K11" s="148" t="s">
        <v>11</v>
      </c>
      <c r="L11" s="150">
        <f>Input!C52</f>
        <v>0.3</v>
      </c>
    </row>
    <row r="12" spans="1:12" x14ac:dyDescent="0.45">
      <c r="A12" s="14"/>
      <c r="B12" s="152" t="s">
        <v>12</v>
      </c>
      <c r="C12" s="153">
        <f>Input!C53</f>
        <v>0.01</v>
      </c>
      <c r="F12" s="14"/>
      <c r="G12" s="152" t="s">
        <v>12</v>
      </c>
      <c r="H12" s="153">
        <f>Input!C53</f>
        <v>0.01</v>
      </c>
      <c r="J12" s="14"/>
      <c r="K12" s="152" t="s">
        <v>12</v>
      </c>
      <c r="L12" s="153">
        <f>Input!C53</f>
        <v>0.01</v>
      </c>
    </row>
    <row r="13" spans="1:12" ht="14.65" thickBot="1" x14ac:dyDescent="0.5">
      <c r="A13" s="14"/>
      <c r="B13" s="5"/>
      <c r="C13" s="16"/>
      <c r="E13" s="102"/>
      <c r="F13" s="14"/>
      <c r="G13" s="5"/>
      <c r="H13" s="16"/>
      <c r="J13" s="14"/>
      <c r="K13" s="5"/>
      <c r="L13" s="16"/>
    </row>
    <row r="14" spans="1:12" x14ac:dyDescent="0.45">
      <c r="A14" s="14"/>
      <c r="B14" s="2" t="s">
        <v>1</v>
      </c>
      <c r="C14" s="7"/>
      <c r="E14" s="102"/>
      <c r="F14" s="14"/>
      <c r="G14" s="2" t="s">
        <v>1</v>
      </c>
      <c r="H14" s="7"/>
      <c r="J14" s="14"/>
      <c r="K14" s="2" t="s">
        <v>1</v>
      </c>
      <c r="L14" s="7"/>
    </row>
    <row r="15" spans="1:12" x14ac:dyDescent="0.45">
      <c r="A15" s="14"/>
      <c r="B15" s="144" t="s">
        <v>277</v>
      </c>
      <c r="C15" s="17">
        <f>EXP(-C12*C10)</f>
        <v>0.99004983374916811</v>
      </c>
      <c r="F15" s="14"/>
      <c r="G15" s="144" t="s">
        <v>277</v>
      </c>
      <c r="H15" s="17">
        <f>EXP(-H12*H10)</f>
        <v>0.99004983374916811</v>
      </c>
      <c r="J15" s="14"/>
      <c r="K15" s="144" t="s">
        <v>277</v>
      </c>
      <c r="L15" s="17">
        <f>EXP(-L12*L10)</f>
        <v>0.99004983374916811</v>
      </c>
    </row>
    <row r="16" spans="1:12" x14ac:dyDescent="0.45">
      <c r="A16" s="14"/>
      <c r="B16" s="145" t="s">
        <v>13</v>
      </c>
      <c r="C16" s="18">
        <f>EXP(-C9*C10)</f>
        <v>0.95265733930583485</v>
      </c>
      <c r="F16" s="14"/>
      <c r="G16" s="145" t="s">
        <v>13</v>
      </c>
      <c r="H16" s="18">
        <f>EXP(-H9*H10)</f>
        <v>0.95265733930583485</v>
      </c>
      <c r="J16" s="14"/>
      <c r="K16" s="145" t="s">
        <v>13</v>
      </c>
      <c r="L16" s="18">
        <f>EXP(-L9*L10)</f>
        <v>0.95265733930583485</v>
      </c>
    </row>
    <row r="17" spans="1:13" ht="15" x14ac:dyDescent="0.45">
      <c r="A17" s="14"/>
      <c r="B17" s="146" t="s">
        <v>276</v>
      </c>
      <c r="C17" s="19">
        <f>(C12-C9+0.5*C11^2)</f>
        <v>6.4999999999999988E-3</v>
      </c>
      <c r="F17" s="14"/>
      <c r="G17" s="146" t="s">
        <v>276</v>
      </c>
      <c r="H17" s="19">
        <f>(H12-H9+0.5*H11^2)</f>
        <v>6.4999999999999988E-3</v>
      </c>
      <c r="J17" s="14"/>
      <c r="K17" s="146" t="s">
        <v>276</v>
      </c>
      <c r="L17" s="19">
        <f>(L12-L9+0.5*L11^2)</f>
        <v>6.4999999999999988E-3</v>
      </c>
    </row>
    <row r="18" spans="1:13" x14ac:dyDescent="0.45">
      <c r="A18" s="14"/>
      <c r="B18" s="145" t="s">
        <v>14</v>
      </c>
      <c r="C18" s="18">
        <f>(LN(C7/C8)+C17*C10)/(C11*SQRT(C10))</f>
        <v>0.11829178957750729</v>
      </c>
      <c r="F18" s="14"/>
      <c r="G18" s="145" t="s">
        <v>14</v>
      </c>
      <c r="H18" s="18">
        <f>(LN(H7/H8)+H17*H10)/(H11*SQRT(H10))</f>
        <v>2.1666666666666664E-2</v>
      </c>
      <c r="J18" s="14"/>
      <c r="K18" s="145" t="s">
        <v>14</v>
      </c>
      <c r="L18" s="18">
        <f>(LN(L7/L8)+L17*L10)/(L11*SQRT(L10))</f>
        <v>-7.2236256555654452E-2</v>
      </c>
    </row>
    <row r="19" spans="1:13" x14ac:dyDescent="0.45">
      <c r="A19" s="14"/>
      <c r="B19" s="142" t="s">
        <v>278</v>
      </c>
      <c r="C19" s="18">
        <f>_xlfn.NORM.S.DIST(C18, TRUE)</f>
        <v>0.5470817686536964</v>
      </c>
      <c r="F19" s="14"/>
      <c r="G19" s="142" t="s">
        <v>278</v>
      </c>
      <c r="H19" s="18">
        <f>_xlfn.NORM.S.DIST(H18, TRUE)</f>
        <v>0.50864307316296087</v>
      </c>
      <c r="J19" s="14"/>
      <c r="K19" s="142" t="s">
        <v>278</v>
      </c>
      <c r="L19" s="18">
        <f>_xlfn.NORM.S.DIST(L18, TRUE)</f>
        <v>0.47120694598446267</v>
      </c>
    </row>
    <row r="20" spans="1:13" x14ac:dyDescent="0.45">
      <c r="A20" s="14"/>
      <c r="B20" s="146" t="s">
        <v>279</v>
      </c>
      <c r="C20" s="19">
        <f>1-C19</f>
        <v>0.4529182313463036</v>
      </c>
      <c r="F20" s="14"/>
      <c r="G20" s="146" t="s">
        <v>279</v>
      </c>
      <c r="H20" s="19">
        <f>1-H19</f>
        <v>0.49135692683703913</v>
      </c>
      <c r="J20" s="14"/>
      <c r="K20" s="146" t="s">
        <v>279</v>
      </c>
      <c r="L20" s="19">
        <f>1-L19</f>
        <v>0.52879305401553733</v>
      </c>
    </row>
    <row r="21" spans="1:13" x14ac:dyDescent="0.45">
      <c r="A21" s="14"/>
      <c r="B21" s="145" t="s">
        <v>15</v>
      </c>
      <c r="C21" s="20">
        <f>C18-(C11*SQRT(C10))</f>
        <v>-0.18170821042249269</v>
      </c>
      <c r="F21" s="14"/>
      <c r="G21" s="145" t="s">
        <v>15</v>
      </c>
      <c r="H21" s="20">
        <f>H18-(H11*SQRT(H10))</f>
        <v>-0.27833333333333332</v>
      </c>
      <c r="J21" s="14"/>
      <c r="K21" s="145" t="s">
        <v>15</v>
      </c>
      <c r="L21" s="20">
        <f>L18-(L11*SQRT(L10))</f>
        <v>-0.37223625655565445</v>
      </c>
    </row>
    <row r="22" spans="1:13" x14ac:dyDescent="0.45">
      <c r="A22" s="14"/>
      <c r="B22" s="142" t="s">
        <v>16</v>
      </c>
      <c r="C22" s="18">
        <f>_xlfn.NORM.S.DIST(C21, TRUE)</f>
        <v>0.42790586112994589</v>
      </c>
      <c r="F22" s="14"/>
      <c r="G22" s="142" t="s">
        <v>16</v>
      </c>
      <c r="H22" s="18">
        <f>_xlfn.NORM.S.DIST(H21, TRUE)</f>
        <v>0.39037824517179581</v>
      </c>
      <c r="J22" s="14"/>
      <c r="K22" s="142" t="s">
        <v>16</v>
      </c>
      <c r="L22" s="18">
        <f>_xlfn.NORM.S.DIST(L21, TRUE)</f>
        <v>0.35485847684224237</v>
      </c>
    </row>
    <row r="23" spans="1:13" x14ac:dyDescent="0.45">
      <c r="A23" s="14"/>
      <c r="B23" s="146" t="s">
        <v>17</v>
      </c>
      <c r="C23" s="19">
        <f>1-C22</f>
        <v>0.57209413887005411</v>
      </c>
      <c r="F23" s="14"/>
      <c r="G23" s="146" t="s">
        <v>17</v>
      </c>
      <c r="H23" s="19">
        <f>1-H22</f>
        <v>0.60962175482820413</v>
      </c>
      <c r="J23" s="14"/>
      <c r="K23" s="146" t="s">
        <v>17</v>
      </c>
      <c r="L23" s="19">
        <f>1-L22</f>
        <v>0.64514152315775763</v>
      </c>
    </row>
    <row r="24" spans="1:13" ht="14.65" thickBot="1" x14ac:dyDescent="0.5">
      <c r="A24" s="14"/>
      <c r="B24" s="143" t="s">
        <v>18</v>
      </c>
      <c r="C24" s="21">
        <f>EXP(-(C18^2)/2)/SQRT(2*PI())</f>
        <v>0.3961608327214951</v>
      </c>
      <c r="F24" s="14"/>
      <c r="G24" s="143" t="s">
        <v>18</v>
      </c>
      <c r="H24" s="21">
        <f>EXP(-(H18^2)/2)/SQRT(2*PI())</f>
        <v>0.39884865077174575</v>
      </c>
      <c r="J24" s="14"/>
      <c r="K24" s="143" t="s">
        <v>18</v>
      </c>
      <c r="L24" s="21">
        <f>EXP(-(L18^2)/2)/SQRT(2*PI())</f>
        <v>0.39790278131639401</v>
      </c>
    </row>
    <row r="25" spans="1:13" ht="14.65" thickBot="1" x14ac:dyDescent="0.5">
      <c r="A25" s="14"/>
      <c r="F25" s="14"/>
      <c r="J25" s="14"/>
    </row>
    <row r="26" spans="1:13" x14ac:dyDescent="0.45">
      <c r="A26" s="14"/>
      <c r="B26" s="2" t="s">
        <v>19</v>
      </c>
      <c r="C26" s="22" t="s">
        <v>20</v>
      </c>
      <c r="D26" s="23" t="s">
        <v>21</v>
      </c>
      <c r="F26" s="14"/>
      <c r="G26" s="2" t="s">
        <v>19</v>
      </c>
      <c r="H26" s="22" t="s">
        <v>20</v>
      </c>
      <c r="I26" s="23" t="s">
        <v>21</v>
      </c>
      <c r="J26" s="14"/>
      <c r="K26" s="2" t="s">
        <v>19</v>
      </c>
      <c r="L26" s="22" t="s">
        <v>20</v>
      </c>
      <c r="M26" s="23" t="s">
        <v>21</v>
      </c>
    </row>
    <row r="27" spans="1:13" x14ac:dyDescent="0.45">
      <c r="A27" s="14"/>
      <c r="B27" s="142" t="s">
        <v>22</v>
      </c>
      <c r="C27" s="342">
        <f>C7*C16*C19-C8*C15*C22</f>
        <v>7.6746297338894109</v>
      </c>
      <c r="D27" s="343">
        <f>-C7*C16*C20+C8*C15*C23</f>
        <v>8.3120046774244081</v>
      </c>
      <c r="F27" s="14"/>
      <c r="G27" s="142" t="s">
        <v>22</v>
      </c>
      <c r="H27" s="342">
        <f>H7*H16*H19-H8*H15*H22</f>
        <v>6.8648048002898712</v>
      </c>
      <c r="I27" s="343">
        <f>-H7*H16*H20+H8*H15*H23</f>
        <v>9.4822794113231978</v>
      </c>
      <c r="J27" s="14"/>
      <c r="K27" s="142" t="s">
        <v>22</v>
      </c>
      <c r="L27" s="342">
        <f>L7*L16*L19-L8*L15*L22</f>
        <v>6.1273274075246036</v>
      </c>
      <c r="M27" s="343">
        <f>-L7*L16*L20+L8*L15*L23</f>
        <v>10.724901686056278</v>
      </c>
    </row>
    <row r="28" spans="1:13" x14ac:dyDescent="0.45">
      <c r="A28" s="14"/>
      <c r="B28" s="142" t="s">
        <v>23</v>
      </c>
      <c r="C28" s="24">
        <f>C16*C19</f>
        <v>0.52118146210836069</v>
      </c>
      <c r="D28" s="25">
        <f>C16*(C19-1)</f>
        <v>-0.43147587719747416</v>
      </c>
      <c r="F28" s="14"/>
      <c r="G28" s="142" t="s">
        <v>23</v>
      </c>
      <c r="H28" s="24">
        <f>H16*H19</f>
        <v>0.48456255673576937</v>
      </c>
      <c r="I28" s="25">
        <f>H16*(H19-1)</f>
        <v>-0.46809478257006548</v>
      </c>
      <c r="J28" s="14"/>
      <c r="K28" s="142" t="s">
        <v>23</v>
      </c>
      <c r="L28" s="24">
        <f>L16*L19</f>
        <v>0.44889875542398644</v>
      </c>
      <c r="M28" s="25">
        <f>L16*(L19-1)</f>
        <v>-0.50375858388184835</v>
      </c>
    </row>
    <row r="29" spans="1:13" x14ac:dyDescent="0.45">
      <c r="A29" s="14"/>
      <c r="B29" s="142" t="s">
        <v>24</v>
      </c>
      <c r="C29" s="24">
        <f>C24*C16/(C7*C11*SQRT(C10))</f>
        <v>1.7971691658935401E-2</v>
      </c>
      <c r="D29" s="26">
        <f>C24*C16/(C7*C11*SQRT(C10))</f>
        <v>1.7971691658935401E-2</v>
      </c>
      <c r="F29" s="14"/>
      <c r="G29" s="142" t="s">
        <v>24</v>
      </c>
      <c r="H29" s="24">
        <f>H24*H16/(H7*H11*SQRT(H10))</f>
        <v>1.8093623544282542E-2</v>
      </c>
      <c r="I29" s="26">
        <f>H24*H16/(H7*H11*SQRT(H10))</f>
        <v>1.8093623544282542E-2</v>
      </c>
      <c r="J29" s="14"/>
      <c r="K29" s="142" t="s">
        <v>24</v>
      </c>
      <c r="L29" s="24">
        <f>L24*L16/(L7*L11*SQRT(L10))</f>
        <v>1.8050714521488924E-2</v>
      </c>
      <c r="M29" s="26">
        <f>L24*L16/(L7*L11*SQRT(L10))</f>
        <v>1.8050714521488924E-2</v>
      </c>
    </row>
    <row r="30" spans="1:13" x14ac:dyDescent="0.45">
      <c r="A30" s="14"/>
      <c r="B30" s="142" t="s">
        <v>25</v>
      </c>
      <c r="C30" s="27">
        <f>(-((C7*C24*C11*C16)/(2*SQRT(C10)))+(C9*C7*C19*C16)-(C12*C8*C15*C22))/250</f>
        <v>-9.9257106922973209E-3</v>
      </c>
      <c r="D30" s="25">
        <f>(-((C7*C24*C11*C16)/(2*SQRT(C10)))-(C9*C7*C20*C16)+(C12*C8*C15*C23))/250</f>
        <v>-2.0169861812272819E-2</v>
      </c>
      <c r="F30" s="14"/>
      <c r="G30" s="142" t="s">
        <v>25</v>
      </c>
      <c r="H30" s="27">
        <f>(-((H7*H24*H11*H16)/(2*SQRT(H10)))+(H9*H7*H19*H16)-(H12*H8*H15*H22))/250</f>
        <v>-1.0460399412434013E-2</v>
      </c>
      <c r="I30" s="25">
        <f>(-((H7*H24*H11*H16)/(2*SQRT(H10)))-(H9*H7*H20*H16)+(H12*H8*H15*H23))/250</f>
        <v>-2.0625346545709581E-2</v>
      </c>
      <c r="J30" s="14"/>
      <c r="K30" s="142" t="s">
        <v>25</v>
      </c>
      <c r="L30" s="27">
        <f>(-((L7*L24*L11*L16)/(2*SQRT(L10)))+(L9*L7*L19*L16)-(L12*L8*L15*L22))/250</f>
        <v>-1.0836508528181672E-2</v>
      </c>
      <c r="M30" s="25">
        <f>(-((L7*L24*L11*L16)/(2*SQRT(L10)))-(L9*L7*L20*L16)+(L12*L8*L15*L23))/250</f>
        <v>-2.0922251674757305E-2</v>
      </c>
    </row>
    <row r="31" spans="1:13" x14ac:dyDescent="0.45">
      <c r="A31" s="14"/>
      <c r="B31" s="142" t="s">
        <v>26</v>
      </c>
      <c r="C31" s="24">
        <f>C8*C10*C15*C22</f>
        <v>28.808072613695835</v>
      </c>
      <c r="D31" s="25">
        <f>-C8*C10*C15*C23</f>
        <v>-38.515316081247597</v>
      </c>
      <c r="F31" s="14"/>
      <c r="G31" s="142" t="s">
        <v>26</v>
      </c>
      <c r="H31" s="24">
        <f>H8*H10*H15*H22</f>
        <v>27.054574171213989</v>
      </c>
      <c r="I31" s="25">
        <f>-H8*H10*H15*H23</f>
        <v>-42.248914191227776</v>
      </c>
      <c r="J31" s="14"/>
      <c r="K31" s="142" t="s">
        <v>26</v>
      </c>
      <c r="L31" s="24">
        <f>L8*L10*L15*L22</f>
        <v>25.295585472154446</v>
      </c>
      <c r="M31" s="25">
        <f>-L8*L10*L15*L23</f>
        <v>-45.988002557785663</v>
      </c>
    </row>
    <row r="32" spans="1:13" x14ac:dyDescent="0.45">
      <c r="A32" s="14"/>
      <c r="B32" s="142" t="s">
        <v>27</v>
      </c>
      <c r="C32" s="24">
        <f>C7*SQRT(C10)*C24*C16</f>
        <v>26.418386738635043</v>
      </c>
      <c r="D32" s="26">
        <f>C7*SQRT(C10)*C24*C16</f>
        <v>26.418386738635043</v>
      </c>
      <c r="F32" s="14"/>
      <c r="G32" s="142" t="s">
        <v>27</v>
      </c>
      <c r="H32" s="24">
        <f>H7*SQRT(H10)*H24*H16</f>
        <v>26.59762661009534</v>
      </c>
      <c r="I32" s="26">
        <f>H7*SQRT(H10)*H24*H16</f>
        <v>26.59762661009534</v>
      </c>
      <c r="J32" s="14"/>
      <c r="K32" s="142" t="s">
        <v>27</v>
      </c>
      <c r="L32" s="24">
        <f>L7*SQRT(L10)*L24*L16</f>
        <v>26.534550346588716</v>
      </c>
      <c r="M32" s="26">
        <f>L7*SQRT(L10)*L24*L16</f>
        <v>26.534550346588716</v>
      </c>
    </row>
    <row r="33" spans="1:13" x14ac:dyDescent="0.45">
      <c r="A33" s="14"/>
      <c r="B33" s="142" t="s">
        <v>28</v>
      </c>
      <c r="C33" s="24">
        <f>C7/C27</f>
        <v>9.1209611964595503</v>
      </c>
      <c r="D33" s="26">
        <f>C7/D27</f>
        <v>8.4215544524561654</v>
      </c>
      <c r="F33" s="14"/>
      <c r="G33" s="142" t="s">
        <v>28</v>
      </c>
      <c r="H33" s="24">
        <f>H7/H27</f>
        <v>10.196939612477284</v>
      </c>
      <c r="I33" s="26">
        <f>H7/I27</f>
        <v>7.3821912394197104</v>
      </c>
      <c r="J33" s="14"/>
      <c r="K33" s="142" t="s">
        <v>28</v>
      </c>
      <c r="L33" s="24">
        <f>L7/L27</f>
        <v>11.4242303935052</v>
      </c>
      <c r="M33" s="26">
        <f>L7/M27</f>
        <v>6.526866357293402</v>
      </c>
    </row>
    <row r="34" spans="1:13" ht="14.65" thickBot="1" x14ac:dyDescent="0.5">
      <c r="B34" s="143" t="s">
        <v>29</v>
      </c>
      <c r="C34" s="28">
        <f>C16*C19*(C7/C27)</f>
        <v>4.7536758922044111</v>
      </c>
      <c r="D34" s="29">
        <f>(C16*(C19-1)*(C7/D27))</f>
        <v>-3.633697594739818</v>
      </c>
      <c r="F34" s="14"/>
      <c r="G34" s="143" t="s">
        <v>29</v>
      </c>
      <c r="H34" s="28">
        <f>H16*H19*(H7/H27)</f>
        <v>4.9410551295022378</v>
      </c>
      <c r="I34" s="29">
        <f>(H16*(H19-1)*(H7/I27))</f>
        <v>-3.4555652031068114</v>
      </c>
      <c r="J34" s="14"/>
      <c r="K34" s="143" t="s">
        <v>29</v>
      </c>
      <c r="L34" s="28">
        <f>L16*L19*(L7/L27)</f>
        <v>5.1283228053213632</v>
      </c>
      <c r="M34" s="29">
        <f>(L16*(L19-1)*(L7/M27))</f>
        <v>-3.2879649533362021</v>
      </c>
    </row>
  </sheetData>
  <conditionalFormatting sqref="M14:XFD14 I14:K14 A1:XFD1 B4:D5 A15:XFD1048576 B6 D6:G6 A2:A13 A14:B14 D14:G14 E2:XFD5 B7:G9 B13:XFD13 B10 D10:G10 B11:G12 I6:K12 M6:XFD12 C3:D3">
    <cfRule type="containsBlanks" dxfId="535" priority="9">
      <formula>LEN(TRIM(A1))=0</formula>
    </cfRule>
  </conditionalFormatting>
  <conditionalFormatting sqref="B2:C2">
    <cfRule type="containsBlanks" dxfId="534" priority="8">
      <formula>LEN(TRIM(B2))=0</formula>
    </cfRule>
  </conditionalFormatting>
  <conditionalFormatting sqref="C10">
    <cfRule type="containsBlanks" dxfId="533" priority="7">
      <formula>LEN(TRIM(C10))=0</formula>
    </cfRule>
  </conditionalFormatting>
  <conditionalFormatting sqref="H7:H9 H11:H12">
    <cfRule type="containsBlanks" dxfId="532" priority="6">
      <formula>LEN(TRIM(H7))=0</formula>
    </cfRule>
  </conditionalFormatting>
  <conditionalFormatting sqref="H10">
    <cfRule type="containsBlanks" dxfId="531" priority="5">
      <formula>LEN(TRIM(H10))=0</formula>
    </cfRule>
  </conditionalFormatting>
  <conditionalFormatting sqref="L7:L9 L11:L12">
    <cfRule type="containsBlanks" dxfId="530" priority="4">
      <formula>LEN(TRIM(L7))=0</formula>
    </cfRule>
  </conditionalFormatting>
  <conditionalFormatting sqref="L10">
    <cfRule type="containsBlanks" dxfId="529" priority="3">
      <formula>LEN(TRIM(L10))=0</formula>
    </cfRule>
  </conditionalFormatting>
  <conditionalFormatting sqref="B3">
    <cfRule type="containsBlanks" dxfId="528" priority="1">
      <formula>LEN(TRIM(B3))=0</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7" tint="0.79998168889431442"/>
  </sheetPr>
  <dimension ref="B3:C50"/>
  <sheetViews>
    <sheetView zoomScale="76" zoomScaleNormal="76" workbookViewId="0">
      <selection activeCell="Q52" sqref="Q52"/>
    </sheetView>
  </sheetViews>
  <sheetFormatPr baseColWidth="10" defaultColWidth="9.1328125" defaultRowHeight="14.25" x14ac:dyDescent="0.45"/>
  <cols>
    <col min="2" max="2" width="37.265625" customWidth="1"/>
    <col min="3" max="3" width="15.265625" customWidth="1"/>
  </cols>
  <sheetData>
    <row r="3" spans="2:3" ht="15.75" x14ac:dyDescent="0.5">
      <c r="B3" s="112" t="s">
        <v>118</v>
      </c>
    </row>
    <row r="4" spans="2:3" ht="14.65" thickBot="1" x14ac:dyDescent="0.5"/>
    <row r="5" spans="2:3" x14ac:dyDescent="0.45">
      <c r="B5" s="2" t="s">
        <v>0</v>
      </c>
      <c r="C5" s="7"/>
    </row>
    <row r="6" spans="2:3" x14ac:dyDescent="0.45">
      <c r="B6" s="3" t="s">
        <v>73</v>
      </c>
      <c r="C6" s="101">
        <f>Input!C63</f>
        <v>1</v>
      </c>
    </row>
    <row r="7" spans="2:3" x14ac:dyDescent="0.45">
      <c r="B7" s="3" t="s">
        <v>74</v>
      </c>
      <c r="C7" s="101">
        <f>'Ableitung Optionspreise'!D27</f>
        <v>8.3120046774244081</v>
      </c>
    </row>
    <row r="8" spans="2:3" x14ac:dyDescent="0.45">
      <c r="B8" s="3" t="s">
        <v>75</v>
      </c>
      <c r="C8" s="101">
        <f>Input!C43</f>
        <v>68</v>
      </c>
    </row>
    <row r="9" spans="2:3" x14ac:dyDescent="0.45">
      <c r="B9" s="3" t="s">
        <v>76</v>
      </c>
      <c r="C9" s="101">
        <f>Input!C63</f>
        <v>1</v>
      </c>
    </row>
    <row r="10" spans="2:3" x14ac:dyDescent="0.45">
      <c r="B10" s="3" t="s">
        <v>77</v>
      </c>
      <c r="C10" s="101">
        <f>'Ableitung Optionspreise'!M27</f>
        <v>10.724901686056278</v>
      </c>
    </row>
    <row r="11" spans="2:3" x14ac:dyDescent="0.45">
      <c r="B11" s="3" t="s">
        <v>78</v>
      </c>
      <c r="C11" s="101">
        <f>Input!C45</f>
        <v>72</v>
      </c>
    </row>
    <row r="12" spans="2:3" x14ac:dyDescent="0.45">
      <c r="B12" s="3" t="s">
        <v>44</v>
      </c>
      <c r="C12" s="101">
        <f>Input!C64</f>
        <v>2</v>
      </c>
    </row>
    <row r="13" spans="2:3" x14ac:dyDescent="0.45">
      <c r="B13" s="3" t="s">
        <v>43</v>
      </c>
      <c r="C13" s="101">
        <f>'Ableitung Optionspreise'!I27</f>
        <v>9.4822794113231978</v>
      </c>
    </row>
    <row r="14" spans="2:3" ht="14.65" thickBot="1" x14ac:dyDescent="0.5">
      <c r="B14" s="6" t="s">
        <v>42</v>
      </c>
      <c r="C14" s="111">
        <f>Input!C44</f>
        <v>70</v>
      </c>
    </row>
    <row r="19" spans="2:3" x14ac:dyDescent="0.45">
      <c r="B19" s="54" t="s">
        <v>4</v>
      </c>
      <c r="C19" s="55" t="s">
        <v>19</v>
      </c>
    </row>
    <row r="20" spans="2:3" x14ac:dyDescent="0.45">
      <c r="B20" s="109">
        <f>Input!C5</f>
        <v>0</v>
      </c>
      <c r="C20" s="56">
        <f>SUM(IF(B20&lt;$C$8,$C$8-B20-$C$7,-$C$7)*$C$6,IF(B20&lt;$C$11,$C$11-B20-$C$10,-$C$10)*$C$9,IF(B20&lt;$C$14,B20-$C$14+$C$13,$C$13)*$C$12)</f>
        <v>-7.2347540834286406E-2</v>
      </c>
    </row>
    <row r="21" spans="2:3" x14ac:dyDescent="0.45">
      <c r="B21" s="109">
        <f>Input!C6</f>
        <v>5</v>
      </c>
      <c r="C21" s="56">
        <f>SUM(IF(B21&lt;$C$8,$C$8-B21-$C$7,-$C$7)*$C$6,IF(B21&lt;$C$11,$C$11-B21-$C$10,-$C$10)*$C$9,IF(B21&lt;$C$14,B21-$C$14+$C$13,$C$13)*$C$12)</f>
        <v>-7.2347540834286406E-2</v>
      </c>
    </row>
    <row r="22" spans="2:3" x14ac:dyDescent="0.45">
      <c r="B22" s="109">
        <f>Input!C7</f>
        <v>10</v>
      </c>
      <c r="C22" s="56">
        <f t="shared" ref="C22:C48" si="0">SUM(IF(B22&lt;$C$8,$C$8-B22-$C$7,-$C$7)*$C$6,IF(B22&lt;$C$11,$C$11-B22-$C$10,-$C$10)*$C$9,IF(B22&lt;$C$14,B22-$C$14+$C$13,$C$13)*$C$12)</f>
        <v>-7.2347540834286406E-2</v>
      </c>
    </row>
    <row r="23" spans="2:3" x14ac:dyDescent="0.45">
      <c r="B23" s="109">
        <f>Input!C8</f>
        <v>15</v>
      </c>
      <c r="C23" s="56">
        <f t="shared" si="0"/>
        <v>-7.2347540834286406E-2</v>
      </c>
    </row>
    <row r="24" spans="2:3" x14ac:dyDescent="0.45">
      <c r="B24" s="109">
        <f>Input!C9</f>
        <v>20</v>
      </c>
      <c r="C24" s="56">
        <f t="shared" si="0"/>
        <v>-7.2347540834286406E-2</v>
      </c>
    </row>
    <row r="25" spans="2:3" x14ac:dyDescent="0.45">
      <c r="B25" s="109">
        <f>Input!C10</f>
        <v>25</v>
      </c>
      <c r="C25" s="56">
        <f t="shared" si="0"/>
        <v>-7.2347540834286406E-2</v>
      </c>
    </row>
    <row r="26" spans="2:3" x14ac:dyDescent="0.45">
      <c r="B26" s="109">
        <f>Input!C11</f>
        <v>30</v>
      </c>
      <c r="C26" s="56">
        <f t="shared" si="0"/>
        <v>-7.2347540834286406E-2</v>
      </c>
    </row>
    <row r="27" spans="2:3" x14ac:dyDescent="0.45">
      <c r="B27" s="109">
        <f>Input!C12</f>
        <v>35</v>
      </c>
      <c r="C27" s="56">
        <f t="shared" si="0"/>
        <v>-7.2347540834286406E-2</v>
      </c>
    </row>
    <row r="28" spans="2:3" x14ac:dyDescent="0.45">
      <c r="B28" s="109">
        <f>Input!C13</f>
        <v>40</v>
      </c>
      <c r="C28" s="56">
        <f t="shared" si="0"/>
        <v>-7.2347540834286406E-2</v>
      </c>
    </row>
    <row r="29" spans="2:3" x14ac:dyDescent="0.45">
      <c r="B29" s="109">
        <f>Input!C14</f>
        <v>45</v>
      </c>
      <c r="C29" s="56">
        <f t="shared" si="0"/>
        <v>-7.2347540834289958E-2</v>
      </c>
    </row>
    <row r="30" spans="2:3" x14ac:dyDescent="0.45">
      <c r="B30" s="109">
        <f>Input!C15</f>
        <v>50</v>
      </c>
      <c r="C30" s="56">
        <f t="shared" si="0"/>
        <v>-7.2347540834289958E-2</v>
      </c>
    </row>
    <row r="31" spans="2:3" x14ac:dyDescent="0.45">
      <c r="B31" s="109">
        <f>Input!C16</f>
        <v>55</v>
      </c>
      <c r="C31" s="56">
        <f t="shared" si="0"/>
        <v>-7.2347540834289958E-2</v>
      </c>
    </row>
    <row r="32" spans="2:3" x14ac:dyDescent="0.45">
      <c r="B32" s="109">
        <f>Input!C17</f>
        <v>60</v>
      </c>
      <c r="C32" s="56">
        <f t="shared" si="0"/>
        <v>-7.2347540834289958E-2</v>
      </c>
    </row>
    <row r="33" spans="2:3" x14ac:dyDescent="0.45">
      <c r="B33" s="109">
        <f>Input!C18</f>
        <v>65</v>
      </c>
      <c r="C33" s="56">
        <f t="shared" si="0"/>
        <v>-7.2347540834289958E-2</v>
      </c>
    </row>
    <row r="34" spans="2:3" x14ac:dyDescent="0.45">
      <c r="B34" s="109">
        <f>Input!C19</f>
        <v>70</v>
      </c>
      <c r="C34" s="56">
        <f t="shared" si="0"/>
        <v>1.92765245916571</v>
      </c>
    </row>
    <row r="35" spans="2:3" x14ac:dyDescent="0.45">
      <c r="B35" s="109">
        <f>Input!C20</f>
        <v>75</v>
      </c>
      <c r="C35" s="56">
        <f t="shared" si="0"/>
        <v>-7.2347540834289958E-2</v>
      </c>
    </row>
    <row r="36" spans="2:3" x14ac:dyDescent="0.45">
      <c r="B36" s="109">
        <f>Input!C21</f>
        <v>80</v>
      </c>
      <c r="C36" s="56">
        <f t="shared" si="0"/>
        <v>-7.2347540834289958E-2</v>
      </c>
    </row>
    <row r="37" spans="2:3" x14ac:dyDescent="0.45">
      <c r="B37" s="109">
        <f>Input!C22</f>
        <v>85</v>
      </c>
      <c r="C37" s="56">
        <f t="shared" si="0"/>
        <v>-7.2347540834289958E-2</v>
      </c>
    </row>
    <row r="38" spans="2:3" x14ac:dyDescent="0.45">
      <c r="B38" s="109">
        <f>Input!C23</f>
        <v>90</v>
      </c>
      <c r="C38" s="56">
        <f t="shared" si="0"/>
        <v>-7.2347540834289958E-2</v>
      </c>
    </row>
    <row r="39" spans="2:3" x14ac:dyDescent="0.45">
      <c r="B39" s="109">
        <f>Input!C24</f>
        <v>95</v>
      </c>
      <c r="C39" s="56">
        <f t="shared" si="0"/>
        <v>-7.2347540834289958E-2</v>
      </c>
    </row>
    <row r="40" spans="2:3" x14ac:dyDescent="0.45">
      <c r="B40" s="109">
        <f>Input!C25</f>
        <v>100</v>
      </c>
      <c r="C40" s="56">
        <f t="shared" si="0"/>
        <v>-7.2347540834289958E-2</v>
      </c>
    </row>
    <row r="41" spans="2:3" x14ac:dyDescent="0.45">
      <c r="B41" s="109">
        <f>Input!C26</f>
        <v>105</v>
      </c>
      <c r="C41" s="56">
        <f t="shared" si="0"/>
        <v>-7.2347540834289958E-2</v>
      </c>
    </row>
    <row r="42" spans="2:3" x14ac:dyDescent="0.45">
      <c r="B42" s="109">
        <f>Input!C27</f>
        <v>110</v>
      </c>
      <c r="C42" s="56">
        <f t="shared" si="0"/>
        <v>-7.2347540834289958E-2</v>
      </c>
    </row>
    <row r="43" spans="2:3" x14ac:dyDescent="0.45">
      <c r="B43" s="109">
        <f>Input!C28</f>
        <v>115</v>
      </c>
      <c r="C43" s="56">
        <f t="shared" si="0"/>
        <v>-7.2347540834289958E-2</v>
      </c>
    </row>
    <row r="44" spans="2:3" x14ac:dyDescent="0.45">
      <c r="B44" s="109">
        <f>Input!C29</f>
        <v>120</v>
      </c>
      <c r="C44" s="56">
        <f t="shared" si="0"/>
        <v>-7.2347540834289958E-2</v>
      </c>
    </row>
    <row r="45" spans="2:3" x14ac:dyDescent="0.45">
      <c r="B45" s="109">
        <f>Input!C30</f>
        <v>125</v>
      </c>
      <c r="C45" s="56">
        <f t="shared" si="0"/>
        <v>-7.2347540834289958E-2</v>
      </c>
    </row>
    <row r="46" spans="2:3" x14ac:dyDescent="0.45">
      <c r="B46" s="109">
        <f>Input!C31</f>
        <v>130</v>
      </c>
      <c r="C46" s="56">
        <f t="shared" si="0"/>
        <v>-7.2347540834289958E-2</v>
      </c>
    </row>
    <row r="47" spans="2:3" x14ac:dyDescent="0.45">
      <c r="B47" s="109">
        <f>Input!C32</f>
        <v>135</v>
      </c>
      <c r="C47" s="56">
        <f t="shared" si="0"/>
        <v>-7.2347540834289958E-2</v>
      </c>
    </row>
    <row r="48" spans="2:3" x14ac:dyDescent="0.45">
      <c r="B48" s="110">
        <f>Input!C33</f>
        <v>140</v>
      </c>
      <c r="C48" s="57">
        <f t="shared" si="0"/>
        <v>-7.2347540834289958E-2</v>
      </c>
    </row>
    <row r="50" spans="2:3" x14ac:dyDescent="0.45">
      <c r="B50" s="296" t="s">
        <v>262</v>
      </c>
      <c r="C50" s="297">
        <f>(C12*C13)-C10-C7</f>
        <v>-7.2347540834289958E-2</v>
      </c>
    </row>
  </sheetData>
  <conditionalFormatting sqref="A1:XFD4 A5:B5 D5:XFD5 A6:XFD14 A49:XFD49 A15:A48 D15:XFD48 B19:C48 A51:XFD1048576 A50 D50:XFD50">
    <cfRule type="containsBlanks" dxfId="325" priority="6">
      <formula>LEN(TRIM(A1))=0</formula>
    </cfRule>
  </conditionalFormatting>
  <conditionalFormatting sqref="B15:C18">
    <cfRule type="containsBlanks" dxfId="324" priority="5">
      <formula>LEN(TRIM(B15))=0</formula>
    </cfRule>
  </conditionalFormatting>
  <conditionalFormatting sqref="B50">
    <cfRule type="containsBlanks" dxfId="323" priority="2">
      <formula>LEN(TRIM(B50))=0</formula>
    </cfRule>
  </conditionalFormatting>
  <conditionalFormatting sqref="C50">
    <cfRule type="containsBlanks" dxfId="322" priority="1">
      <formula>LEN(TRIM(C50))=0</formula>
    </cfRule>
  </conditionalFormatting>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7" tint="0.79998168889431442"/>
  </sheetPr>
  <dimension ref="B3:C50"/>
  <sheetViews>
    <sheetView zoomScale="69" zoomScaleNormal="69" workbookViewId="0">
      <selection activeCell="Q52" sqref="Q52"/>
    </sheetView>
  </sheetViews>
  <sheetFormatPr baseColWidth="10" defaultColWidth="9.1328125" defaultRowHeight="14.25" x14ac:dyDescent="0.45"/>
  <cols>
    <col min="2" max="2" width="45.3984375" bestFit="1" customWidth="1"/>
  </cols>
  <sheetData>
    <row r="3" spans="2:3" ht="15.75" x14ac:dyDescent="0.5">
      <c r="B3" s="112" t="s">
        <v>119</v>
      </c>
    </row>
    <row r="4" spans="2:3" ht="14.65" thickBot="1" x14ac:dyDescent="0.5"/>
    <row r="5" spans="2:3" x14ac:dyDescent="0.45">
      <c r="B5" s="2" t="s">
        <v>0</v>
      </c>
      <c r="C5" s="7"/>
    </row>
    <row r="6" spans="2:3" x14ac:dyDescent="0.45">
      <c r="B6" s="3" t="s">
        <v>35</v>
      </c>
      <c r="C6" s="101">
        <f>Input!C61</f>
        <v>1</v>
      </c>
    </row>
    <row r="7" spans="2:3" x14ac:dyDescent="0.45">
      <c r="B7" s="3" t="s">
        <v>34</v>
      </c>
      <c r="C7" s="101">
        <f>'Ableitung Optionspreise'!C27</f>
        <v>7.6746297338894109</v>
      </c>
    </row>
    <row r="8" spans="2:3" x14ac:dyDescent="0.45">
      <c r="B8" s="3" t="s">
        <v>33</v>
      </c>
      <c r="C8" s="101">
        <f>Input!C43</f>
        <v>68</v>
      </c>
    </row>
    <row r="9" spans="2:3" x14ac:dyDescent="0.45">
      <c r="B9" s="3" t="s">
        <v>61</v>
      </c>
      <c r="C9" s="101">
        <f>Input!C61</f>
        <v>1</v>
      </c>
    </row>
    <row r="10" spans="2:3" x14ac:dyDescent="0.45">
      <c r="B10" s="3" t="s">
        <v>62</v>
      </c>
      <c r="C10" s="101">
        <f>'Ableitung Optionspreise'!L27</f>
        <v>6.1273274075246036</v>
      </c>
    </row>
    <row r="11" spans="2:3" x14ac:dyDescent="0.45">
      <c r="B11" s="3" t="s">
        <v>63</v>
      </c>
      <c r="C11" s="101">
        <f>Input!C45</f>
        <v>72</v>
      </c>
    </row>
    <row r="12" spans="2:3" x14ac:dyDescent="0.45">
      <c r="B12" s="3" t="s">
        <v>79</v>
      </c>
      <c r="C12" s="101">
        <f>Input!C61</f>
        <v>1</v>
      </c>
    </row>
    <row r="13" spans="2:3" x14ac:dyDescent="0.45">
      <c r="B13" s="3" t="s">
        <v>80</v>
      </c>
      <c r="C13" s="101">
        <f>'Ableitung Optionspreise'!H27</f>
        <v>6.8648048002898712</v>
      </c>
    </row>
    <row r="14" spans="2:3" ht="14.65" thickBot="1" x14ac:dyDescent="0.5">
      <c r="B14" s="6" t="s">
        <v>81</v>
      </c>
      <c r="C14" s="111">
        <f>Input!C44</f>
        <v>70</v>
      </c>
    </row>
    <row r="15" spans="2:3" x14ac:dyDescent="0.45">
      <c r="B15" s="36"/>
      <c r="C15" s="36"/>
    </row>
    <row r="19" spans="2:3" x14ac:dyDescent="0.45">
      <c r="B19" s="54" t="s">
        <v>4</v>
      </c>
      <c r="C19" s="55" t="s">
        <v>19</v>
      </c>
    </row>
    <row r="20" spans="2:3" x14ac:dyDescent="0.45">
      <c r="B20" s="109">
        <f>Input!C5</f>
        <v>0</v>
      </c>
      <c r="C20" s="56">
        <f>SUM(IF(B20&gt;$C$8,B20-$C$8-$C$7,-$C$7)*$C$6,IF(B20&gt;$C$11,$C$11-B20+$C$10,$C$10)*$C$9,IF(B20&gt;$C$14,$C$14-B20+$C$13,$C$13)*$C$12)</f>
        <v>5.3175024739250638</v>
      </c>
    </row>
    <row r="21" spans="2:3" x14ac:dyDescent="0.45">
      <c r="B21" s="109">
        <f>Input!C6</f>
        <v>5</v>
      </c>
      <c r="C21" s="56">
        <f t="shared" ref="C21:C48" si="0">SUM(IF(B21&gt;$C$8,B21-$C$8-$C$7,-$C$7)*$C$6,IF(B21&gt;$C$11,$C$11-B21+$C$10,$C$10)*$C$9,IF(B21&gt;$C$14,$C$14-B21+$C$13,$C$13)*$C$12)</f>
        <v>5.3175024739250638</v>
      </c>
    </row>
    <row r="22" spans="2:3" x14ac:dyDescent="0.45">
      <c r="B22" s="109">
        <f>Input!C7</f>
        <v>10</v>
      </c>
      <c r="C22" s="56">
        <f t="shared" si="0"/>
        <v>5.3175024739250638</v>
      </c>
    </row>
    <row r="23" spans="2:3" x14ac:dyDescent="0.45">
      <c r="B23" s="109">
        <f>Input!C8</f>
        <v>15</v>
      </c>
      <c r="C23" s="56">
        <f t="shared" si="0"/>
        <v>5.3175024739250638</v>
      </c>
    </row>
    <row r="24" spans="2:3" x14ac:dyDescent="0.45">
      <c r="B24" s="109">
        <f>Input!C9</f>
        <v>20</v>
      </c>
      <c r="C24" s="56">
        <f t="shared" si="0"/>
        <v>5.3175024739250638</v>
      </c>
    </row>
    <row r="25" spans="2:3" x14ac:dyDescent="0.45">
      <c r="B25" s="109">
        <f>Input!C10</f>
        <v>25</v>
      </c>
      <c r="C25" s="56">
        <f t="shared" si="0"/>
        <v>5.3175024739250638</v>
      </c>
    </row>
    <row r="26" spans="2:3" x14ac:dyDescent="0.45">
      <c r="B26" s="109">
        <f>Input!C11</f>
        <v>30</v>
      </c>
      <c r="C26" s="56">
        <f t="shared" si="0"/>
        <v>5.3175024739250638</v>
      </c>
    </row>
    <row r="27" spans="2:3" x14ac:dyDescent="0.45">
      <c r="B27" s="109">
        <f>Input!C12</f>
        <v>35</v>
      </c>
      <c r="C27" s="56">
        <f t="shared" si="0"/>
        <v>5.3175024739250638</v>
      </c>
    </row>
    <row r="28" spans="2:3" x14ac:dyDescent="0.45">
      <c r="B28" s="109">
        <f>Input!C13</f>
        <v>40</v>
      </c>
      <c r="C28" s="56">
        <f t="shared" si="0"/>
        <v>5.3175024739250638</v>
      </c>
    </row>
    <row r="29" spans="2:3" x14ac:dyDescent="0.45">
      <c r="B29" s="109">
        <f>Input!C14</f>
        <v>45</v>
      </c>
      <c r="C29" s="56">
        <f t="shared" si="0"/>
        <v>5.3175024739250638</v>
      </c>
    </row>
    <row r="30" spans="2:3" x14ac:dyDescent="0.45">
      <c r="B30" s="109">
        <f>Input!C15</f>
        <v>50</v>
      </c>
      <c r="C30" s="56">
        <f t="shared" si="0"/>
        <v>5.3175024739250638</v>
      </c>
    </row>
    <row r="31" spans="2:3" x14ac:dyDescent="0.45">
      <c r="B31" s="109">
        <f>Input!C16</f>
        <v>55</v>
      </c>
      <c r="C31" s="56">
        <f t="shared" si="0"/>
        <v>5.3175024739250638</v>
      </c>
    </row>
    <row r="32" spans="2:3" x14ac:dyDescent="0.45">
      <c r="B32" s="109">
        <f>Input!C17</f>
        <v>60</v>
      </c>
      <c r="C32" s="56">
        <f t="shared" si="0"/>
        <v>5.3175024739250638</v>
      </c>
    </row>
    <row r="33" spans="2:3" x14ac:dyDescent="0.45">
      <c r="B33" s="109">
        <f>Input!C18</f>
        <v>65</v>
      </c>
      <c r="C33" s="56">
        <f t="shared" si="0"/>
        <v>5.3175024739250638</v>
      </c>
    </row>
    <row r="34" spans="2:3" x14ac:dyDescent="0.45">
      <c r="B34" s="109">
        <f>Input!C19</f>
        <v>70</v>
      </c>
      <c r="C34" s="56">
        <f t="shared" si="0"/>
        <v>7.3175024739250638</v>
      </c>
    </row>
    <row r="35" spans="2:3" x14ac:dyDescent="0.45">
      <c r="B35" s="109">
        <f>Input!C20</f>
        <v>75</v>
      </c>
      <c r="C35" s="56">
        <f t="shared" si="0"/>
        <v>4.3175024739250638</v>
      </c>
    </row>
    <row r="36" spans="2:3" x14ac:dyDescent="0.45">
      <c r="B36" s="109">
        <f>Input!C21</f>
        <v>80</v>
      </c>
      <c r="C36" s="56">
        <f t="shared" si="0"/>
        <v>-0.68249752607493619</v>
      </c>
    </row>
    <row r="37" spans="2:3" x14ac:dyDescent="0.45">
      <c r="B37" s="109">
        <f>Input!C22</f>
        <v>85</v>
      </c>
      <c r="C37" s="56">
        <f t="shared" si="0"/>
        <v>-5.6824975260749362</v>
      </c>
    </row>
    <row r="38" spans="2:3" x14ac:dyDescent="0.45">
      <c r="B38" s="109">
        <f>Input!C23</f>
        <v>90</v>
      </c>
      <c r="C38" s="56">
        <f t="shared" si="0"/>
        <v>-10.682497526074936</v>
      </c>
    </row>
    <row r="39" spans="2:3" x14ac:dyDescent="0.45">
      <c r="B39" s="109">
        <f>Input!C24</f>
        <v>95</v>
      </c>
      <c r="C39" s="56">
        <f t="shared" si="0"/>
        <v>-15.682497526074936</v>
      </c>
    </row>
    <row r="40" spans="2:3" x14ac:dyDescent="0.45">
      <c r="B40" s="109">
        <f>Input!C25</f>
        <v>100</v>
      </c>
      <c r="C40" s="56">
        <f t="shared" si="0"/>
        <v>-20.682497526074936</v>
      </c>
    </row>
    <row r="41" spans="2:3" x14ac:dyDescent="0.45">
      <c r="B41" s="109">
        <f>Input!C26</f>
        <v>105</v>
      </c>
      <c r="C41" s="56">
        <f t="shared" si="0"/>
        <v>-25.682497526074936</v>
      </c>
    </row>
    <row r="42" spans="2:3" x14ac:dyDescent="0.45">
      <c r="B42" s="109">
        <f>Input!C27</f>
        <v>110</v>
      </c>
      <c r="C42" s="56">
        <f t="shared" si="0"/>
        <v>-30.682497526074933</v>
      </c>
    </row>
    <row r="43" spans="2:3" x14ac:dyDescent="0.45">
      <c r="B43" s="109">
        <f>Input!C28</f>
        <v>115</v>
      </c>
      <c r="C43" s="56">
        <f t="shared" si="0"/>
        <v>-35.682497526074933</v>
      </c>
    </row>
    <row r="44" spans="2:3" x14ac:dyDescent="0.45">
      <c r="B44" s="109">
        <f>Input!C29</f>
        <v>120</v>
      </c>
      <c r="C44" s="56">
        <f t="shared" si="0"/>
        <v>-40.682497526074933</v>
      </c>
    </row>
    <row r="45" spans="2:3" x14ac:dyDescent="0.45">
      <c r="B45" s="109">
        <f>Input!C30</f>
        <v>125</v>
      </c>
      <c r="C45" s="56">
        <f t="shared" si="0"/>
        <v>-45.682497526074933</v>
      </c>
    </row>
    <row r="46" spans="2:3" x14ac:dyDescent="0.45">
      <c r="B46" s="109">
        <f>Input!C31</f>
        <v>130</v>
      </c>
      <c r="C46" s="56">
        <f t="shared" si="0"/>
        <v>-50.682497526074933</v>
      </c>
    </row>
    <row r="47" spans="2:3" x14ac:dyDescent="0.45">
      <c r="B47" s="109">
        <f>Input!C32</f>
        <v>135</v>
      </c>
      <c r="C47" s="56">
        <f t="shared" si="0"/>
        <v>-55.682497526074933</v>
      </c>
    </row>
    <row r="48" spans="2:3" x14ac:dyDescent="0.45">
      <c r="B48" s="110">
        <f>Input!C33</f>
        <v>140</v>
      </c>
      <c r="C48" s="57">
        <f t="shared" si="0"/>
        <v>-60.68249752607494</v>
      </c>
    </row>
    <row r="50" spans="2:3" x14ac:dyDescent="0.45">
      <c r="B50" s="296" t="s">
        <v>262</v>
      </c>
      <c r="C50" s="223">
        <f>C13+C10-C7</f>
        <v>5.3175024739250638</v>
      </c>
    </row>
  </sheetData>
  <conditionalFormatting sqref="A1:XFD4 A5:B5 D5:XFD5 A6:XFD15 A49:XFD49 A16:A48 D16:XFD48 B19:C48 A51:XFD1048576 A50 D50:XFD50">
    <cfRule type="containsBlanks" dxfId="321" priority="5">
      <formula>LEN(TRIM(A1))=0</formula>
    </cfRule>
  </conditionalFormatting>
  <conditionalFormatting sqref="B16:C18">
    <cfRule type="containsBlanks" dxfId="320" priority="4">
      <formula>LEN(TRIM(B16))=0</formula>
    </cfRule>
  </conditionalFormatting>
  <conditionalFormatting sqref="C50">
    <cfRule type="containsBlanks" dxfId="319" priority="3">
      <formula>LEN(TRIM(C50))=0</formula>
    </cfRule>
  </conditionalFormatting>
  <conditionalFormatting sqref="B50">
    <cfRule type="containsBlanks" dxfId="318" priority="1">
      <formula>LEN(TRIM(B50))=0</formula>
    </cfRule>
  </conditionalFormatting>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79998168889431442"/>
  </sheetPr>
  <dimension ref="B3:E50"/>
  <sheetViews>
    <sheetView zoomScale="73" zoomScaleNormal="73" workbookViewId="0">
      <selection activeCell="Q52" sqref="Q52"/>
    </sheetView>
  </sheetViews>
  <sheetFormatPr baseColWidth="10" defaultColWidth="9.1328125" defaultRowHeight="14.25" x14ac:dyDescent="0.45"/>
  <cols>
    <col min="2" max="2" width="37.265625" customWidth="1"/>
    <col min="3" max="3" width="15.265625" customWidth="1"/>
  </cols>
  <sheetData>
    <row r="3" spans="2:5" ht="15.75" x14ac:dyDescent="0.5">
      <c r="B3" s="112" t="s">
        <v>120</v>
      </c>
    </row>
    <row r="4" spans="2:5" ht="14.65" thickBot="1" x14ac:dyDescent="0.5"/>
    <row r="5" spans="2:5" x14ac:dyDescent="0.45">
      <c r="B5" s="2" t="s">
        <v>0</v>
      </c>
      <c r="C5" s="7"/>
    </row>
    <row r="6" spans="2:5" x14ac:dyDescent="0.45">
      <c r="B6" s="3" t="s">
        <v>39</v>
      </c>
      <c r="C6" s="101">
        <f>Input!C63</f>
        <v>1</v>
      </c>
    </row>
    <row r="7" spans="2:5" x14ac:dyDescent="0.45">
      <c r="B7" s="3" t="s">
        <v>40</v>
      </c>
      <c r="C7" s="101">
        <f>'Ableitung Optionspreise'!M27</f>
        <v>10.724901686056278</v>
      </c>
    </row>
    <row r="8" spans="2:5" x14ac:dyDescent="0.45">
      <c r="B8" s="3" t="s">
        <v>41</v>
      </c>
      <c r="C8" s="101">
        <f>Input!C45</f>
        <v>72</v>
      </c>
      <c r="E8" s="9"/>
    </row>
    <row r="9" spans="2:5" x14ac:dyDescent="0.45">
      <c r="B9" s="3" t="s">
        <v>82</v>
      </c>
      <c r="C9" s="101">
        <f>Input!C63</f>
        <v>1</v>
      </c>
    </row>
    <row r="10" spans="2:5" x14ac:dyDescent="0.45">
      <c r="B10" s="3" t="s">
        <v>83</v>
      </c>
      <c r="C10" s="101">
        <f>'Ableitung Optionspreise'!D27</f>
        <v>8.3120046774244081</v>
      </c>
    </row>
    <row r="11" spans="2:5" x14ac:dyDescent="0.45">
      <c r="B11" s="3" t="s">
        <v>84</v>
      </c>
      <c r="C11" s="101">
        <f>Input!C43</f>
        <v>68</v>
      </c>
    </row>
    <row r="12" spans="2:5" x14ac:dyDescent="0.45">
      <c r="B12" s="3" t="s">
        <v>87</v>
      </c>
      <c r="C12" s="101">
        <f>Input!C63</f>
        <v>1</v>
      </c>
    </row>
    <row r="13" spans="2:5" x14ac:dyDescent="0.45">
      <c r="B13" s="3" t="s">
        <v>85</v>
      </c>
      <c r="C13" s="101">
        <f>'Ableitung Optionspreise'!I27</f>
        <v>9.4822794113231978</v>
      </c>
    </row>
    <row r="14" spans="2:5" ht="14.65" thickBot="1" x14ac:dyDescent="0.5">
      <c r="B14" s="6" t="s">
        <v>86</v>
      </c>
      <c r="C14" s="111">
        <f>Input!C44</f>
        <v>70</v>
      </c>
    </row>
    <row r="15" spans="2:5" x14ac:dyDescent="0.45">
      <c r="B15" s="36"/>
      <c r="C15" s="36"/>
    </row>
    <row r="19" spans="2:3" x14ac:dyDescent="0.45">
      <c r="B19" s="54" t="s">
        <v>4</v>
      </c>
      <c r="C19" s="55" t="s">
        <v>19</v>
      </c>
    </row>
    <row r="20" spans="2:3" x14ac:dyDescent="0.45">
      <c r="B20" s="109">
        <f>Input!C5</f>
        <v>0</v>
      </c>
      <c r="C20" s="56">
        <f>SUM(IF(B20&lt;$C$8,$C$8-B20-$C$7,-$C$7)*$C$6,IF(B20&lt;$C$11,B20-$C$11+$C$10,$C$10)*$C$9,IF(B20&lt;$C$14,B20-$C$14+$C$13,$C$13)*$C$12)</f>
        <v>-58.930617597308668</v>
      </c>
    </row>
    <row r="21" spans="2:3" x14ac:dyDescent="0.45">
      <c r="B21" s="109">
        <f>Input!C6</f>
        <v>5</v>
      </c>
      <c r="C21" s="56">
        <f t="shared" ref="C21:C48" si="0">SUM(IF(B21&lt;$C$8,$C$8-B21-$C$7,-$C$7)*$C$6,IF(B21&lt;$C$11,B21-$C$11+$C$10,$C$10)*$C$9,IF(B21&lt;$C$14,B21-$C$14+$C$13,$C$13)*$C$12)</f>
        <v>-53.930617597308668</v>
      </c>
    </row>
    <row r="22" spans="2:3" x14ac:dyDescent="0.45">
      <c r="B22" s="109">
        <f>Input!C7</f>
        <v>10</v>
      </c>
      <c r="C22" s="56">
        <f t="shared" si="0"/>
        <v>-48.930617597308668</v>
      </c>
    </row>
    <row r="23" spans="2:3" x14ac:dyDescent="0.45">
      <c r="B23" s="109">
        <f>Input!C8</f>
        <v>15</v>
      </c>
      <c r="C23" s="56">
        <f t="shared" si="0"/>
        <v>-43.930617597308668</v>
      </c>
    </row>
    <row r="24" spans="2:3" x14ac:dyDescent="0.45">
      <c r="B24" s="109">
        <f>Input!C9</f>
        <v>20</v>
      </c>
      <c r="C24" s="56">
        <f t="shared" si="0"/>
        <v>-38.930617597308668</v>
      </c>
    </row>
    <row r="25" spans="2:3" x14ac:dyDescent="0.45">
      <c r="B25" s="109">
        <f>Input!C10</f>
        <v>25</v>
      </c>
      <c r="C25" s="56">
        <f t="shared" si="0"/>
        <v>-33.930617597308668</v>
      </c>
    </row>
    <row r="26" spans="2:3" x14ac:dyDescent="0.45">
      <c r="B26" s="109">
        <f>Input!C11</f>
        <v>30</v>
      </c>
      <c r="C26" s="56">
        <f t="shared" si="0"/>
        <v>-28.930617597308672</v>
      </c>
    </row>
    <row r="27" spans="2:3" x14ac:dyDescent="0.45">
      <c r="B27" s="109">
        <f>Input!C12</f>
        <v>35</v>
      </c>
      <c r="C27" s="56">
        <f t="shared" si="0"/>
        <v>-23.930617597308672</v>
      </c>
    </row>
    <row r="28" spans="2:3" x14ac:dyDescent="0.45">
      <c r="B28" s="109">
        <f>Input!C13</f>
        <v>40</v>
      </c>
      <c r="C28" s="56">
        <f t="shared" si="0"/>
        <v>-18.930617597308672</v>
      </c>
    </row>
    <row r="29" spans="2:3" x14ac:dyDescent="0.45">
      <c r="B29" s="109">
        <f>Input!C14</f>
        <v>45</v>
      </c>
      <c r="C29" s="56">
        <f t="shared" si="0"/>
        <v>-13.930617597308672</v>
      </c>
    </row>
    <row r="30" spans="2:3" x14ac:dyDescent="0.45">
      <c r="B30" s="109">
        <f>Input!C15</f>
        <v>50</v>
      </c>
      <c r="C30" s="56">
        <f t="shared" si="0"/>
        <v>-8.9306175973086717</v>
      </c>
    </row>
    <row r="31" spans="2:3" x14ac:dyDescent="0.45">
      <c r="B31" s="109">
        <f>Input!C16</f>
        <v>55</v>
      </c>
      <c r="C31" s="56">
        <f t="shared" si="0"/>
        <v>-3.9306175973086717</v>
      </c>
    </row>
    <row r="32" spans="2:3" x14ac:dyDescent="0.45">
      <c r="B32" s="109">
        <f>Input!C17</f>
        <v>60</v>
      </c>
      <c r="C32" s="56">
        <f t="shared" si="0"/>
        <v>1.0693824026913283</v>
      </c>
    </row>
    <row r="33" spans="2:3" x14ac:dyDescent="0.45">
      <c r="B33" s="109">
        <f>Input!C18</f>
        <v>65</v>
      </c>
      <c r="C33" s="56">
        <f t="shared" si="0"/>
        <v>6.0693824026913283</v>
      </c>
    </row>
    <row r="34" spans="2:3" x14ac:dyDescent="0.45">
      <c r="B34" s="109">
        <f>Input!C19</f>
        <v>70</v>
      </c>
      <c r="C34" s="56">
        <f t="shared" si="0"/>
        <v>9.0693824026913283</v>
      </c>
    </row>
    <row r="35" spans="2:3" x14ac:dyDescent="0.45">
      <c r="B35" s="109">
        <f>Input!C20</f>
        <v>75</v>
      </c>
      <c r="C35" s="56">
        <f t="shared" si="0"/>
        <v>7.0693824026913283</v>
      </c>
    </row>
    <row r="36" spans="2:3" x14ac:dyDescent="0.45">
      <c r="B36" s="109">
        <f>Input!C21</f>
        <v>80</v>
      </c>
      <c r="C36" s="56">
        <f t="shared" si="0"/>
        <v>7.0693824026913283</v>
      </c>
    </row>
    <row r="37" spans="2:3" x14ac:dyDescent="0.45">
      <c r="B37" s="109">
        <f>Input!C22</f>
        <v>85</v>
      </c>
      <c r="C37" s="56">
        <f t="shared" si="0"/>
        <v>7.0693824026913283</v>
      </c>
    </row>
    <row r="38" spans="2:3" x14ac:dyDescent="0.45">
      <c r="B38" s="109">
        <f>Input!C23</f>
        <v>90</v>
      </c>
      <c r="C38" s="56">
        <f t="shared" si="0"/>
        <v>7.0693824026913283</v>
      </c>
    </row>
    <row r="39" spans="2:3" x14ac:dyDescent="0.45">
      <c r="B39" s="109">
        <f>Input!C24</f>
        <v>95</v>
      </c>
      <c r="C39" s="56">
        <f t="shared" si="0"/>
        <v>7.0693824026913283</v>
      </c>
    </row>
    <row r="40" spans="2:3" x14ac:dyDescent="0.45">
      <c r="B40" s="109">
        <f>Input!C25</f>
        <v>100</v>
      </c>
      <c r="C40" s="56">
        <f t="shared" si="0"/>
        <v>7.0693824026913283</v>
      </c>
    </row>
    <row r="41" spans="2:3" x14ac:dyDescent="0.45">
      <c r="B41" s="109">
        <f>Input!C26</f>
        <v>105</v>
      </c>
      <c r="C41" s="56">
        <f t="shared" si="0"/>
        <v>7.0693824026913283</v>
      </c>
    </row>
    <row r="42" spans="2:3" x14ac:dyDescent="0.45">
      <c r="B42" s="109">
        <f>Input!C27</f>
        <v>110</v>
      </c>
      <c r="C42" s="56">
        <f t="shared" si="0"/>
        <v>7.0693824026913283</v>
      </c>
    </row>
    <row r="43" spans="2:3" x14ac:dyDescent="0.45">
      <c r="B43" s="109">
        <f>Input!C28</f>
        <v>115</v>
      </c>
      <c r="C43" s="56">
        <f t="shared" si="0"/>
        <v>7.0693824026913283</v>
      </c>
    </row>
    <row r="44" spans="2:3" x14ac:dyDescent="0.45">
      <c r="B44" s="109">
        <f>Input!C29</f>
        <v>120</v>
      </c>
      <c r="C44" s="56">
        <f t="shared" si="0"/>
        <v>7.0693824026913283</v>
      </c>
    </row>
    <row r="45" spans="2:3" x14ac:dyDescent="0.45">
      <c r="B45" s="109">
        <f>Input!C30</f>
        <v>125</v>
      </c>
      <c r="C45" s="56">
        <f t="shared" si="0"/>
        <v>7.0693824026913283</v>
      </c>
    </row>
    <row r="46" spans="2:3" x14ac:dyDescent="0.45">
      <c r="B46" s="109">
        <f>Input!C31</f>
        <v>130</v>
      </c>
      <c r="C46" s="56">
        <f t="shared" si="0"/>
        <v>7.0693824026913283</v>
      </c>
    </row>
    <row r="47" spans="2:3" x14ac:dyDescent="0.45">
      <c r="B47" s="109">
        <f>Input!C32</f>
        <v>135</v>
      </c>
      <c r="C47" s="56">
        <f t="shared" si="0"/>
        <v>7.0693824026913283</v>
      </c>
    </row>
    <row r="48" spans="2:3" x14ac:dyDescent="0.45">
      <c r="B48" s="110">
        <f>Input!C33</f>
        <v>140</v>
      </c>
      <c r="C48" s="57">
        <f t="shared" si="0"/>
        <v>7.0693824026913283</v>
      </c>
    </row>
    <row r="50" spans="2:3" x14ac:dyDescent="0.45">
      <c r="B50" s="296" t="s">
        <v>262</v>
      </c>
      <c r="C50" s="223">
        <f>C13+C10-C7</f>
        <v>7.0693824026913283</v>
      </c>
    </row>
  </sheetData>
  <conditionalFormatting sqref="A1:XFD4 A5:B5 D5:XFD5 A6:XFD15 A49:XFD49 A16:A48 D16:XFD48 B19:C48 A51:XFD1048576 A50 D50:XFD50">
    <cfRule type="containsBlanks" dxfId="317" priority="5">
      <formula>LEN(TRIM(A1))=0</formula>
    </cfRule>
  </conditionalFormatting>
  <conditionalFormatting sqref="B16:C18">
    <cfRule type="containsBlanks" dxfId="316" priority="4">
      <formula>LEN(TRIM(B16))=0</formula>
    </cfRule>
  </conditionalFormatting>
  <conditionalFormatting sqref="C50">
    <cfRule type="containsBlanks" dxfId="315" priority="3">
      <formula>LEN(TRIM(C50))=0</formula>
    </cfRule>
  </conditionalFormatting>
  <conditionalFormatting sqref="B50">
    <cfRule type="containsBlanks" dxfId="314" priority="1">
      <formula>LEN(TRIM(B50))=0</formula>
    </cfRule>
  </conditionalFormatting>
  <pageMargins left="0.7" right="0.7" top="0.75" bottom="0.75" header="0.3" footer="0.3"/>
  <pageSetup paperSize="9" orientation="portrait" horizontalDpi="0"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79998168889431442"/>
  </sheetPr>
  <dimension ref="B3:C50"/>
  <sheetViews>
    <sheetView zoomScale="72" zoomScaleNormal="72" workbookViewId="0">
      <selection activeCell="Q52" sqref="Q52"/>
    </sheetView>
  </sheetViews>
  <sheetFormatPr baseColWidth="10" defaultColWidth="9.1328125" defaultRowHeight="14.25" x14ac:dyDescent="0.45"/>
  <cols>
    <col min="2" max="2" width="27.3984375" bestFit="1" customWidth="1"/>
    <col min="3" max="3" width="12.1328125" customWidth="1"/>
  </cols>
  <sheetData>
    <row r="3" spans="2:3" ht="15.75" x14ac:dyDescent="0.5">
      <c r="B3" s="113" t="s">
        <v>121</v>
      </c>
    </row>
    <row r="4" spans="2:3" ht="14.65" thickBot="1" x14ac:dyDescent="0.5"/>
    <row r="5" spans="2:3" x14ac:dyDescent="0.45">
      <c r="B5" s="2" t="s">
        <v>0</v>
      </c>
      <c r="C5" s="7"/>
    </row>
    <row r="6" spans="2:3" x14ac:dyDescent="0.45">
      <c r="B6" s="3" t="s">
        <v>88</v>
      </c>
      <c r="C6" s="101">
        <f>Input!C61</f>
        <v>1</v>
      </c>
    </row>
    <row r="7" spans="2:3" x14ac:dyDescent="0.45">
      <c r="B7" s="31" t="s">
        <v>89</v>
      </c>
      <c r="C7" s="103">
        <f>'Ableitung Optionspreise'!L27</f>
        <v>6.1273274075246036</v>
      </c>
    </row>
    <row r="8" spans="2:3" x14ac:dyDescent="0.45">
      <c r="B8" s="31" t="s">
        <v>90</v>
      </c>
      <c r="C8" s="103">
        <f>Input!C45</f>
        <v>72</v>
      </c>
    </row>
    <row r="9" spans="2:3" x14ac:dyDescent="0.45">
      <c r="B9" s="31" t="s">
        <v>49</v>
      </c>
      <c r="C9" s="103">
        <f>Input!C63</f>
        <v>1</v>
      </c>
    </row>
    <row r="10" spans="2:3" x14ac:dyDescent="0.45">
      <c r="B10" s="31" t="s">
        <v>50</v>
      </c>
      <c r="C10" s="103">
        <f>'Ableitung Optionspreise'!D27</f>
        <v>8.3120046774244081</v>
      </c>
    </row>
    <row r="11" spans="2:3" ht="14.65" thickBot="1" x14ac:dyDescent="0.5">
      <c r="B11" s="6" t="s">
        <v>51</v>
      </c>
      <c r="C11" s="111">
        <f>Input!C43</f>
        <v>68</v>
      </c>
    </row>
    <row r="12" spans="2:3" x14ac:dyDescent="0.45">
      <c r="B12" s="36"/>
      <c r="C12" s="36"/>
    </row>
    <row r="18" spans="2:3" ht="14.65" thickBot="1" x14ac:dyDescent="0.5"/>
    <row r="19" spans="2:3" x14ac:dyDescent="0.45">
      <c r="B19" s="32" t="s">
        <v>4</v>
      </c>
      <c r="C19" s="33" t="s">
        <v>19</v>
      </c>
    </row>
    <row r="20" spans="2:3" x14ac:dyDescent="0.45">
      <c r="B20" s="106">
        <f>Input!C5</f>
        <v>0</v>
      </c>
      <c r="C20" s="34">
        <f>SUM(IF(B20&gt;$C$8,$C$8-B20+$C$7,$C$7)*$C$6,IF(B20&lt;$C$11,B20-$C$11+$C$10,$C$10)*$C$9)</f>
        <v>-53.560667915050985</v>
      </c>
    </row>
    <row r="21" spans="2:3" x14ac:dyDescent="0.45">
      <c r="B21" s="106">
        <f>Input!C6</f>
        <v>5</v>
      </c>
      <c r="C21" s="34">
        <f>SUM(IF(B21&gt;$C$8,$C$8-B21+$C$7,$C$7)*$C$6,IF(B21&lt;$C$11,B21-$C$11+$C$10,$C$10)*$C$9)</f>
        <v>-48.560667915050985</v>
      </c>
    </row>
    <row r="22" spans="2:3" x14ac:dyDescent="0.45">
      <c r="B22" s="106">
        <f>Input!C7</f>
        <v>10</v>
      </c>
      <c r="C22" s="34">
        <f t="shared" ref="C22:C48" si="0">SUM(IF(B22&gt;$C$8,$C$8-B22+$C$7,$C$7)*$C$6,IF(B22&lt;$C$11,B22-$C$11+$C$10,$C$10)*$C$9)</f>
        <v>-43.560667915050985</v>
      </c>
    </row>
    <row r="23" spans="2:3" x14ac:dyDescent="0.45">
      <c r="B23" s="106">
        <f>Input!C8</f>
        <v>15</v>
      </c>
      <c r="C23" s="34">
        <f t="shared" si="0"/>
        <v>-38.560667915050985</v>
      </c>
    </row>
    <row r="24" spans="2:3" x14ac:dyDescent="0.45">
      <c r="B24" s="106">
        <f>Input!C9</f>
        <v>20</v>
      </c>
      <c r="C24" s="34">
        <f t="shared" si="0"/>
        <v>-33.560667915050985</v>
      </c>
    </row>
    <row r="25" spans="2:3" x14ac:dyDescent="0.45">
      <c r="B25" s="106">
        <f>Input!C10</f>
        <v>25</v>
      </c>
      <c r="C25" s="34">
        <f t="shared" si="0"/>
        <v>-28.560667915050985</v>
      </c>
    </row>
    <row r="26" spans="2:3" x14ac:dyDescent="0.45">
      <c r="B26" s="106">
        <f>Input!C11</f>
        <v>30</v>
      </c>
      <c r="C26" s="34">
        <f t="shared" si="0"/>
        <v>-23.560667915050988</v>
      </c>
    </row>
    <row r="27" spans="2:3" x14ac:dyDescent="0.45">
      <c r="B27" s="106">
        <f>Input!C12</f>
        <v>35</v>
      </c>
      <c r="C27" s="34">
        <f t="shared" si="0"/>
        <v>-18.560667915050988</v>
      </c>
    </row>
    <row r="28" spans="2:3" x14ac:dyDescent="0.45">
      <c r="B28" s="106">
        <f>Input!C13</f>
        <v>40</v>
      </c>
      <c r="C28" s="34">
        <f t="shared" si="0"/>
        <v>-13.560667915050988</v>
      </c>
    </row>
    <row r="29" spans="2:3" x14ac:dyDescent="0.45">
      <c r="B29" s="106">
        <f>Input!C14</f>
        <v>45</v>
      </c>
      <c r="C29" s="34">
        <f t="shared" si="0"/>
        <v>-8.5606679150509883</v>
      </c>
    </row>
    <row r="30" spans="2:3" x14ac:dyDescent="0.45">
      <c r="B30" s="106">
        <f>Input!C15</f>
        <v>50</v>
      </c>
      <c r="C30" s="34">
        <f t="shared" si="0"/>
        <v>-3.5606679150509883</v>
      </c>
    </row>
    <row r="31" spans="2:3" x14ac:dyDescent="0.45">
      <c r="B31" s="106">
        <f>Input!C16</f>
        <v>55</v>
      </c>
      <c r="C31" s="34">
        <f t="shared" si="0"/>
        <v>1.4393320849490117</v>
      </c>
    </row>
    <row r="32" spans="2:3" x14ac:dyDescent="0.45">
      <c r="B32" s="106">
        <f>Input!C17</f>
        <v>60</v>
      </c>
      <c r="C32" s="34">
        <f t="shared" si="0"/>
        <v>6.4393320849490117</v>
      </c>
    </row>
    <row r="33" spans="2:3" x14ac:dyDescent="0.45">
      <c r="B33" s="106">
        <f>Input!C18</f>
        <v>65</v>
      </c>
      <c r="C33" s="34">
        <f t="shared" si="0"/>
        <v>11.439332084949012</v>
      </c>
    </row>
    <row r="34" spans="2:3" x14ac:dyDescent="0.45">
      <c r="B34" s="106">
        <f>Input!C19</f>
        <v>70</v>
      </c>
      <c r="C34" s="34">
        <f t="shared" si="0"/>
        <v>14.439332084949012</v>
      </c>
    </row>
    <row r="35" spans="2:3" x14ac:dyDescent="0.45">
      <c r="B35" s="106">
        <f>Input!C20</f>
        <v>75</v>
      </c>
      <c r="C35" s="34">
        <f t="shared" si="0"/>
        <v>11.439332084949012</v>
      </c>
    </row>
    <row r="36" spans="2:3" x14ac:dyDescent="0.45">
      <c r="B36" s="106">
        <f>Input!C21</f>
        <v>80</v>
      </c>
      <c r="C36" s="34">
        <f t="shared" si="0"/>
        <v>6.4393320849490117</v>
      </c>
    </row>
    <row r="37" spans="2:3" x14ac:dyDescent="0.45">
      <c r="B37" s="106">
        <f>Input!C22</f>
        <v>85</v>
      </c>
      <c r="C37" s="34">
        <f t="shared" si="0"/>
        <v>1.4393320849490117</v>
      </c>
    </row>
    <row r="38" spans="2:3" x14ac:dyDescent="0.45">
      <c r="B38" s="106">
        <f>Input!C23</f>
        <v>90</v>
      </c>
      <c r="C38" s="34">
        <f t="shared" si="0"/>
        <v>-3.5606679150509883</v>
      </c>
    </row>
    <row r="39" spans="2:3" x14ac:dyDescent="0.45">
      <c r="B39" s="106">
        <f>Input!C24</f>
        <v>95</v>
      </c>
      <c r="C39" s="34">
        <f t="shared" si="0"/>
        <v>-8.5606679150509883</v>
      </c>
    </row>
    <row r="40" spans="2:3" x14ac:dyDescent="0.45">
      <c r="B40" s="106">
        <f>Input!C25</f>
        <v>100</v>
      </c>
      <c r="C40" s="34">
        <f t="shared" si="0"/>
        <v>-13.560667915050988</v>
      </c>
    </row>
    <row r="41" spans="2:3" x14ac:dyDescent="0.45">
      <c r="B41" s="106">
        <f>Input!C26</f>
        <v>105</v>
      </c>
      <c r="C41" s="34">
        <f t="shared" si="0"/>
        <v>-18.560667915050988</v>
      </c>
    </row>
    <row r="42" spans="2:3" x14ac:dyDescent="0.45">
      <c r="B42" s="106">
        <f>Input!C27</f>
        <v>110</v>
      </c>
      <c r="C42" s="34">
        <f t="shared" si="0"/>
        <v>-23.560667915050988</v>
      </c>
    </row>
    <row r="43" spans="2:3" x14ac:dyDescent="0.45">
      <c r="B43" s="106">
        <f>Input!C28</f>
        <v>115</v>
      </c>
      <c r="C43" s="34">
        <f t="shared" si="0"/>
        <v>-28.560667915050988</v>
      </c>
    </row>
    <row r="44" spans="2:3" x14ac:dyDescent="0.45">
      <c r="B44" s="106">
        <f>Input!C29</f>
        <v>120</v>
      </c>
      <c r="C44" s="34">
        <f t="shared" si="0"/>
        <v>-33.560667915050985</v>
      </c>
    </row>
    <row r="45" spans="2:3" x14ac:dyDescent="0.45">
      <c r="B45" s="106">
        <f>Input!C30</f>
        <v>125</v>
      </c>
      <c r="C45" s="34">
        <f t="shared" si="0"/>
        <v>-38.560667915050985</v>
      </c>
    </row>
    <row r="46" spans="2:3" x14ac:dyDescent="0.45">
      <c r="B46" s="106">
        <f>Input!C31</f>
        <v>130</v>
      </c>
      <c r="C46" s="34">
        <f t="shared" si="0"/>
        <v>-43.560667915050985</v>
      </c>
    </row>
    <row r="47" spans="2:3" x14ac:dyDescent="0.45">
      <c r="B47" s="106">
        <f>Input!C32</f>
        <v>135</v>
      </c>
      <c r="C47" s="34">
        <f t="shared" si="0"/>
        <v>-48.560667915050985</v>
      </c>
    </row>
    <row r="48" spans="2:3" ht="14.65" thickBot="1" x14ac:dyDescent="0.5">
      <c r="B48" s="108">
        <f>Input!C33</f>
        <v>140</v>
      </c>
      <c r="C48" s="35">
        <f t="shared" si="0"/>
        <v>-53.560667915050985</v>
      </c>
    </row>
    <row r="49" spans="2:3" ht="14.65" thickBot="1" x14ac:dyDescent="0.5"/>
    <row r="50" spans="2:3" ht="14.65" thickBot="1" x14ac:dyDescent="0.5">
      <c r="B50" s="300" t="s">
        <v>262</v>
      </c>
      <c r="C50" s="346">
        <f>C10+C7</f>
        <v>14.439332084949012</v>
      </c>
    </row>
  </sheetData>
  <conditionalFormatting sqref="A1:XFD4 A5:B5 D5:XFD5 A6:XFD12 A49:XFD49 A13:A48 D13:XFD48 B19:C48 A51:XFD1048576 A50 D50:XFD50">
    <cfRule type="containsBlanks" dxfId="313" priority="5">
      <formula>LEN(TRIM(A1))=0</formula>
    </cfRule>
  </conditionalFormatting>
  <conditionalFormatting sqref="B13:C18">
    <cfRule type="containsBlanks" dxfId="312" priority="4">
      <formula>LEN(TRIM(B13))=0</formula>
    </cfRule>
  </conditionalFormatting>
  <conditionalFormatting sqref="C50">
    <cfRule type="containsBlanks" dxfId="311" priority="3">
      <formula>LEN(TRIM(C50))=0</formula>
    </cfRule>
  </conditionalFormatting>
  <conditionalFormatting sqref="B50">
    <cfRule type="containsBlanks" dxfId="310" priority="1">
      <formula>LEN(TRIM(B50))=0</formula>
    </cfRule>
  </conditionalFormatting>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79998168889431442"/>
  </sheetPr>
  <dimension ref="B3:C50"/>
  <sheetViews>
    <sheetView zoomScale="72" zoomScaleNormal="72" workbookViewId="0">
      <selection activeCell="Q52" sqref="Q52"/>
    </sheetView>
  </sheetViews>
  <sheetFormatPr baseColWidth="10" defaultColWidth="9.1328125" defaultRowHeight="14.25" x14ac:dyDescent="0.45"/>
  <cols>
    <col min="2" max="2" width="27.3984375" bestFit="1" customWidth="1"/>
    <col min="3" max="3" width="12.1328125" customWidth="1"/>
  </cols>
  <sheetData>
    <row r="3" spans="2:3" ht="15.75" x14ac:dyDescent="0.5">
      <c r="B3" s="112" t="s">
        <v>122</v>
      </c>
    </row>
    <row r="4" spans="2:3" ht="14.65" thickBot="1" x14ac:dyDescent="0.5"/>
    <row r="5" spans="2:3" x14ac:dyDescent="0.45">
      <c r="B5" s="2" t="s">
        <v>0</v>
      </c>
      <c r="C5" s="7"/>
    </row>
    <row r="6" spans="2:3" x14ac:dyDescent="0.45">
      <c r="B6" s="3" t="s">
        <v>88</v>
      </c>
      <c r="C6" s="101">
        <f>Input!C61</f>
        <v>1</v>
      </c>
    </row>
    <row r="7" spans="2:3" x14ac:dyDescent="0.45">
      <c r="B7" s="31" t="s">
        <v>89</v>
      </c>
      <c r="C7" s="103">
        <f>'Ableitung Optionspreise'!H27</f>
        <v>6.8648048002898712</v>
      </c>
    </row>
    <row r="8" spans="2:3" x14ac:dyDescent="0.45">
      <c r="B8" s="31" t="s">
        <v>90</v>
      </c>
      <c r="C8" s="103">
        <f>Input!C44</f>
        <v>70</v>
      </c>
    </row>
    <row r="9" spans="2:3" x14ac:dyDescent="0.45">
      <c r="B9" s="31" t="s">
        <v>49</v>
      </c>
      <c r="C9" s="103">
        <f>Input!C61</f>
        <v>1</v>
      </c>
    </row>
    <row r="10" spans="2:3" x14ac:dyDescent="0.45">
      <c r="B10" s="31" t="s">
        <v>50</v>
      </c>
      <c r="C10" s="103">
        <f>'Ableitung Optionspreise'!I27</f>
        <v>9.4822794113231978</v>
      </c>
    </row>
    <row r="11" spans="2:3" ht="14.65" thickBot="1" x14ac:dyDescent="0.5">
      <c r="B11" s="6" t="s">
        <v>51</v>
      </c>
      <c r="C11" s="111">
        <f>Input!C44</f>
        <v>70</v>
      </c>
    </row>
    <row r="12" spans="2:3" x14ac:dyDescent="0.45">
      <c r="B12" s="36"/>
      <c r="C12" s="36"/>
    </row>
    <row r="19" spans="2:3" x14ac:dyDescent="0.45">
      <c r="B19" s="54" t="s">
        <v>4</v>
      </c>
      <c r="C19" s="55" t="s">
        <v>19</v>
      </c>
    </row>
    <row r="20" spans="2:3" x14ac:dyDescent="0.45">
      <c r="B20" s="109">
        <f>Input!C5</f>
        <v>0</v>
      </c>
      <c r="C20" s="56">
        <f>SUM(IF(B20&gt;$C$8,$C$8-B20+$C$7,$C$7)*$C$6,IF(B20&lt;$C$11,B20-$C$11+$C$10,$C$10)*$C$9)</f>
        <v>-53.652915788386935</v>
      </c>
    </row>
    <row r="21" spans="2:3" x14ac:dyDescent="0.45">
      <c r="B21" s="109">
        <f>Input!C6</f>
        <v>5</v>
      </c>
      <c r="C21" s="56">
        <f t="shared" ref="C21:C48" si="0">SUM(IF(B21&gt;$C$8,$C$8-B21+$C$7,$C$7)*$C$6,IF(B21&lt;$C$11,B21-$C$11+$C$10,$C$10)*$C$9)</f>
        <v>-48.652915788386935</v>
      </c>
    </row>
    <row r="22" spans="2:3" x14ac:dyDescent="0.45">
      <c r="B22" s="109">
        <f>Input!C7</f>
        <v>10</v>
      </c>
      <c r="C22" s="56">
        <f t="shared" si="0"/>
        <v>-43.652915788386935</v>
      </c>
    </row>
    <row r="23" spans="2:3" x14ac:dyDescent="0.45">
      <c r="B23" s="109">
        <f>Input!C8</f>
        <v>15</v>
      </c>
      <c r="C23" s="56">
        <f t="shared" si="0"/>
        <v>-38.652915788386935</v>
      </c>
    </row>
    <row r="24" spans="2:3" x14ac:dyDescent="0.45">
      <c r="B24" s="109">
        <f>Input!C9</f>
        <v>20</v>
      </c>
      <c r="C24" s="56">
        <f t="shared" si="0"/>
        <v>-33.652915788386935</v>
      </c>
    </row>
    <row r="25" spans="2:3" x14ac:dyDescent="0.45">
      <c r="B25" s="109">
        <f>Input!C10</f>
        <v>25</v>
      </c>
      <c r="C25" s="56">
        <f t="shared" si="0"/>
        <v>-28.652915788386931</v>
      </c>
    </row>
    <row r="26" spans="2:3" x14ac:dyDescent="0.45">
      <c r="B26" s="109">
        <f>Input!C11</f>
        <v>30</v>
      </c>
      <c r="C26" s="56">
        <f t="shared" si="0"/>
        <v>-23.652915788386931</v>
      </c>
    </row>
    <row r="27" spans="2:3" x14ac:dyDescent="0.45">
      <c r="B27" s="109">
        <f>Input!C12</f>
        <v>35</v>
      </c>
      <c r="C27" s="56">
        <f t="shared" si="0"/>
        <v>-18.652915788386931</v>
      </c>
    </row>
    <row r="28" spans="2:3" x14ac:dyDescent="0.45">
      <c r="B28" s="109">
        <f>Input!C13</f>
        <v>40</v>
      </c>
      <c r="C28" s="56">
        <f t="shared" si="0"/>
        <v>-13.652915788386931</v>
      </c>
    </row>
    <row r="29" spans="2:3" x14ac:dyDescent="0.45">
      <c r="B29" s="109">
        <f>Input!C14</f>
        <v>45</v>
      </c>
      <c r="C29" s="56">
        <f t="shared" si="0"/>
        <v>-8.652915788386931</v>
      </c>
    </row>
    <row r="30" spans="2:3" x14ac:dyDescent="0.45">
      <c r="B30" s="109">
        <f>Input!C15</f>
        <v>50</v>
      </c>
      <c r="C30" s="56">
        <f t="shared" si="0"/>
        <v>-3.652915788386931</v>
      </c>
    </row>
    <row r="31" spans="2:3" x14ac:dyDescent="0.45">
      <c r="B31" s="109">
        <f>Input!C16</f>
        <v>55</v>
      </c>
      <c r="C31" s="56">
        <f t="shared" si="0"/>
        <v>1.347084211613069</v>
      </c>
    </row>
    <row r="32" spans="2:3" x14ac:dyDescent="0.45">
      <c r="B32" s="109">
        <f>Input!C17</f>
        <v>60</v>
      </c>
      <c r="C32" s="56">
        <f t="shared" si="0"/>
        <v>6.347084211613069</v>
      </c>
    </row>
    <row r="33" spans="2:3" x14ac:dyDescent="0.45">
      <c r="B33" s="109">
        <f>Input!C18</f>
        <v>65</v>
      </c>
      <c r="C33" s="56">
        <f t="shared" si="0"/>
        <v>11.347084211613069</v>
      </c>
    </row>
    <row r="34" spans="2:3" x14ac:dyDescent="0.45">
      <c r="B34" s="109">
        <f>Input!C19</f>
        <v>70</v>
      </c>
      <c r="C34" s="56">
        <f t="shared" si="0"/>
        <v>16.347084211613069</v>
      </c>
    </row>
    <row r="35" spans="2:3" x14ac:dyDescent="0.45">
      <c r="B35" s="109">
        <f>Input!C20</f>
        <v>75</v>
      </c>
      <c r="C35" s="56">
        <f t="shared" si="0"/>
        <v>11.347084211613069</v>
      </c>
    </row>
    <row r="36" spans="2:3" x14ac:dyDescent="0.45">
      <c r="B36" s="109">
        <f>Input!C21</f>
        <v>80</v>
      </c>
      <c r="C36" s="56">
        <f t="shared" si="0"/>
        <v>6.347084211613069</v>
      </c>
    </row>
    <row r="37" spans="2:3" x14ac:dyDescent="0.45">
      <c r="B37" s="109">
        <f>Input!C22</f>
        <v>85</v>
      </c>
      <c r="C37" s="56">
        <f t="shared" si="0"/>
        <v>1.347084211613069</v>
      </c>
    </row>
    <row r="38" spans="2:3" x14ac:dyDescent="0.45">
      <c r="B38" s="109">
        <f>Input!C23</f>
        <v>90</v>
      </c>
      <c r="C38" s="56">
        <f t="shared" si="0"/>
        <v>-3.652915788386931</v>
      </c>
    </row>
    <row r="39" spans="2:3" x14ac:dyDescent="0.45">
      <c r="B39" s="109">
        <f>Input!C24</f>
        <v>95</v>
      </c>
      <c r="C39" s="56">
        <f t="shared" si="0"/>
        <v>-8.652915788386931</v>
      </c>
    </row>
    <row r="40" spans="2:3" x14ac:dyDescent="0.45">
      <c r="B40" s="109">
        <f>Input!C25</f>
        <v>100</v>
      </c>
      <c r="C40" s="56">
        <f t="shared" si="0"/>
        <v>-13.652915788386931</v>
      </c>
    </row>
    <row r="41" spans="2:3" x14ac:dyDescent="0.45">
      <c r="B41" s="109">
        <f>Input!C26</f>
        <v>105</v>
      </c>
      <c r="C41" s="56">
        <f t="shared" si="0"/>
        <v>-18.652915788386931</v>
      </c>
    </row>
    <row r="42" spans="2:3" x14ac:dyDescent="0.45">
      <c r="B42" s="109">
        <f>Input!C27</f>
        <v>110</v>
      </c>
      <c r="C42" s="56">
        <f t="shared" si="0"/>
        <v>-23.652915788386927</v>
      </c>
    </row>
    <row r="43" spans="2:3" x14ac:dyDescent="0.45">
      <c r="B43" s="109">
        <f>Input!C28</f>
        <v>115</v>
      </c>
      <c r="C43" s="56">
        <f t="shared" si="0"/>
        <v>-28.652915788386927</v>
      </c>
    </row>
    <row r="44" spans="2:3" x14ac:dyDescent="0.45">
      <c r="B44" s="109">
        <f>Input!C29</f>
        <v>120</v>
      </c>
      <c r="C44" s="56">
        <f t="shared" si="0"/>
        <v>-33.652915788386927</v>
      </c>
    </row>
    <row r="45" spans="2:3" x14ac:dyDescent="0.45">
      <c r="B45" s="109">
        <f>Input!C30</f>
        <v>125</v>
      </c>
      <c r="C45" s="56">
        <f t="shared" si="0"/>
        <v>-38.652915788386927</v>
      </c>
    </row>
    <row r="46" spans="2:3" x14ac:dyDescent="0.45">
      <c r="B46" s="109">
        <f>Input!C31</f>
        <v>130</v>
      </c>
      <c r="C46" s="56">
        <f t="shared" si="0"/>
        <v>-43.652915788386927</v>
      </c>
    </row>
    <row r="47" spans="2:3" x14ac:dyDescent="0.45">
      <c r="B47" s="109">
        <f>Input!C32</f>
        <v>135</v>
      </c>
      <c r="C47" s="56">
        <f t="shared" si="0"/>
        <v>-48.652915788386927</v>
      </c>
    </row>
    <row r="48" spans="2:3" x14ac:dyDescent="0.45">
      <c r="B48" s="110">
        <f>Input!C33</f>
        <v>140</v>
      </c>
      <c r="C48" s="57">
        <f t="shared" si="0"/>
        <v>-53.652915788386927</v>
      </c>
    </row>
    <row r="50" spans="2:3" x14ac:dyDescent="0.45">
      <c r="B50" s="296" t="s">
        <v>262</v>
      </c>
      <c r="C50" s="223">
        <f>C10+C7</f>
        <v>16.347084211613069</v>
      </c>
    </row>
  </sheetData>
  <conditionalFormatting sqref="A1:XFD4 A5:B5 D5:XFD5 A6:XFD12 A49:XFD49 A13:A48 D13:XFD48 B19:C48 A51:XFD1048576 A50 D50:XFD50">
    <cfRule type="containsBlanks" dxfId="309" priority="5">
      <formula>LEN(TRIM(A1))=0</formula>
    </cfRule>
  </conditionalFormatting>
  <conditionalFormatting sqref="B13:C18">
    <cfRule type="containsBlanks" dxfId="308" priority="4">
      <formula>LEN(TRIM(B13))=0</formula>
    </cfRule>
  </conditionalFormatting>
  <conditionalFormatting sqref="C50">
    <cfRule type="containsBlanks" dxfId="307" priority="3">
      <formula>LEN(TRIM(C50))=0</formula>
    </cfRule>
  </conditionalFormatting>
  <conditionalFormatting sqref="B50">
    <cfRule type="containsBlanks" dxfId="306" priority="1">
      <formula>LEN(TRIM(B50))=0</formula>
    </cfRule>
  </conditionalFormatting>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tint="0.79998168889431442"/>
  </sheetPr>
  <dimension ref="B3:C50"/>
  <sheetViews>
    <sheetView zoomScale="72" zoomScaleNormal="72" workbookViewId="0">
      <selection activeCell="R47" sqref="R47"/>
    </sheetView>
  </sheetViews>
  <sheetFormatPr baseColWidth="10" defaultColWidth="9.1328125" defaultRowHeight="14.25" x14ac:dyDescent="0.45"/>
  <cols>
    <col min="2" max="2" width="27.3984375" bestFit="1" customWidth="1"/>
    <col min="3" max="3" width="12.1328125" customWidth="1"/>
  </cols>
  <sheetData>
    <row r="3" spans="2:3" ht="15.75" x14ac:dyDescent="0.5">
      <c r="B3" s="112" t="s">
        <v>123</v>
      </c>
    </row>
    <row r="4" spans="2:3" ht="14.65" thickBot="1" x14ac:dyDescent="0.5"/>
    <row r="5" spans="2:3" x14ac:dyDescent="0.45">
      <c r="B5" s="2" t="s">
        <v>0</v>
      </c>
      <c r="C5" s="7"/>
    </row>
    <row r="6" spans="2:3" x14ac:dyDescent="0.45">
      <c r="B6" s="3" t="s">
        <v>88</v>
      </c>
      <c r="C6" s="101">
        <f>Input!C61</f>
        <v>1</v>
      </c>
    </row>
    <row r="7" spans="2:3" x14ac:dyDescent="0.45">
      <c r="B7" s="31" t="s">
        <v>89</v>
      </c>
      <c r="C7" s="103">
        <f>'Ableitung Optionspreise'!C27</f>
        <v>7.6746297338894109</v>
      </c>
    </row>
    <row r="8" spans="2:3" x14ac:dyDescent="0.45">
      <c r="B8" s="31" t="s">
        <v>90</v>
      </c>
      <c r="C8" s="103">
        <f>Input!C43</f>
        <v>68</v>
      </c>
    </row>
    <row r="9" spans="2:3" x14ac:dyDescent="0.45">
      <c r="B9" s="31" t="s">
        <v>49</v>
      </c>
      <c r="C9" s="103">
        <f>Input!C63</f>
        <v>1</v>
      </c>
    </row>
    <row r="10" spans="2:3" x14ac:dyDescent="0.45">
      <c r="B10" s="31" t="s">
        <v>50</v>
      </c>
      <c r="C10" s="103">
        <f>'Ableitung Optionspreise'!M27</f>
        <v>10.724901686056278</v>
      </c>
    </row>
    <row r="11" spans="2:3" ht="14.65" thickBot="1" x14ac:dyDescent="0.5">
      <c r="B11" s="6" t="s">
        <v>51</v>
      </c>
      <c r="C11" s="111">
        <f>Input!C45</f>
        <v>72</v>
      </c>
    </row>
    <row r="19" spans="2:3" x14ac:dyDescent="0.45">
      <c r="B19" s="54" t="s">
        <v>4</v>
      </c>
      <c r="C19" s="55" t="s">
        <v>19</v>
      </c>
    </row>
    <row r="20" spans="2:3" x14ac:dyDescent="0.45">
      <c r="B20" s="109">
        <f>Input!C5</f>
        <v>0</v>
      </c>
      <c r="C20" s="56">
        <f>SUM(IF(B20&gt;$C$8,$C$8-B20+$C$7,$C$7)*$C$6,IF(B20&lt;$C$11,B20-$C$11+$C$10,$C$10)*$C$9)</f>
        <v>-53.600468580054311</v>
      </c>
    </row>
    <row r="21" spans="2:3" x14ac:dyDescent="0.45">
      <c r="B21" s="109">
        <f>Input!C6</f>
        <v>5</v>
      </c>
      <c r="C21" s="56">
        <f t="shared" ref="C21:C48" si="0">SUM(IF(B21&gt;$C$8,$C$8-B21+$C$7,$C$7)*$C$6,IF(B21&lt;$C$11,B21-$C$11+$C$10,$C$10)*$C$9)</f>
        <v>-48.600468580054311</v>
      </c>
    </row>
    <row r="22" spans="2:3" x14ac:dyDescent="0.45">
      <c r="B22" s="109">
        <f>Input!C7</f>
        <v>10</v>
      </c>
      <c r="C22" s="56">
        <f t="shared" si="0"/>
        <v>-43.600468580054311</v>
      </c>
    </row>
    <row r="23" spans="2:3" x14ac:dyDescent="0.45">
      <c r="B23" s="109">
        <f>Input!C8</f>
        <v>15</v>
      </c>
      <c r="C23" s="56">
        <f t="shared" si="0"/>
        <v>-38.600468580054311</v>
      </c>
    </row>
    <row r="24" spans="2:3" x14ac:dyDescent="0.45">
      <c r="B24" s="109">
        <f>Input!C9</f>
        <v>20</v>
      </c>
      <c r="C24" s="56">
        <f t="shared" si="0"/>
        <v>-33.600468580054311</v>
      </c>
    </row>
    <row r="25" spans="2:3" x14ac:dyDescent="0.45">
      <c r="B25" s="109">
        <f>Input!C10</f>
        <v>25</v>
      </c>
      <c r="C25" s="56">
        <f t="shared" si="0"/>
        <v>-28.600468580054311</v>
      </c>
    </row>
    <row r="26" spans="2:3" x14ac:dyDescent="0.45">
      <c r="B26" s="109">
        <f>Input!C11</f>
        <v>30</v>
      </c>
      <c r="C26" s="56">
        <f t="shared" si="0"/>
        <v>-23.600468580054311</v>
      </c>
    </row>
    <row r="27" spans="2:3" x14ac:dyDescent="0.45">
      <c r="B27" s="109">
        <f>Input!C12</f>
        <v>35</v>
      </c>
      <c r="C27" s="56">
        <f t="shared" si="0"/>
        <v>-18.600468580054311</v>
      </c>
    </row>
    <row r="28" spans="2:3" x14ac:dyDescent="0.45">
      <c r="B28" s="109">
        <f>Input!C13</f>
        <v>40</v>
      </c>
      <c r="C28" s="56">
        <f t="shared" si="0"/>
        <v>-13.600468580054311</v>
      </c>
    </row>
    <row r="29" spans="2:3" x14ac:dyDescent="0.45">
      <c r="B29" s="109">
        <f>Input!C14</f>
        <v>45</v>
      </c>
      <c r="C29" s="56">
        <f t="shared" si="0"/>
        <v>-8.6004685800543115</v>
      </c>
    </row>
    <row r="30" spans="2:3" x14ac:dyDescent="0.45">
      <c r="B30" s="109">
        <f>Input!C15</f>
        <v>50</v>
      </c>
      <c r="C30" s="56">
        <f t="shared" si="0"/>
        <v>-3.6004685800543115</v>
      </c>
    </row>
    <row r="31" spans="2:3" x14ac:dyDescent="0.45">
      <c r="B31" s="109">
        <f>Input!C16</f>
        <v>55</v>
      </c>
      <c r="C31" s="56">
        <f t="shared" si="0"/>
        <v>1.3995314199456885</v>
      </c>
    </row>
    <row r="32" spans="2:3" x14ac:dyDescent="0.45">
      <c r="B32" s="109">
        <f>Input!C17</f>
        <v>60</v>
      </c>
      <c r="C32" s="56">
        <f t="shared" si="0"/>
        <v>6.3995314199456885</v>
      </c>
    </row>
    <row r="33" spans="2:3" x14ac:dyDescent="0.45">
      <c r="B33" s="109">
        <f>Input!C18</f>
        <v>65</v>
      </c>
      <c r="C33" s="56">
        <f t="shared" si="0"/>
        <v>11.399531419945689</v>
      </c>
    </row>
    <row r="34" spans="2:3" x14ac:dyDescent="0.45">
      <c r="B34" s="109">
        <f>Input!C19</f>
        <v>70</v>
      </c>
      <c r="C34" s="56">
        <f>SUM(IF(B34&gt;$C$8,$C$8-B34+$C$7,$C$7)*$C$6,IF(B34&lt;$C$11,B34-$C$11+$C$10,$C$10)*$C$9)</f>
        <v>14.399531419945689</v>
      </c>
    </row>
    <row r="35" spans="2:3" x14ac:dyDescent="0.45">
      <c r="B35" s="109">
        <f>Input!C20</f>
        <v>75</v>
      </c>
      <c r="C35" s="56">
        <f t="shared" si="0"/>
        <v>11.399531419945689</v>
      </c>
    </row>
    <row r="36" spans="2:3" x14ac:dyDescent="0.45">
      <c r="B36" s="109">
        <f>Input!C21</f>
        <v>80</v>
      </c>
      <c r="C36" s="56">
        <f t="shared" si="0"/>
        <v>6.3995314199456885</v>
      </c>
    </row>
    <row r="37" spans="2:3" x14ac:dyDescent="0.45">
      <c r="B37" s="109">
        <f>Input!C22</f>
        <v>85</v>
      </c>
      <c r="C37" s="56">
        <f t="shared" si="0"/>
        <v>1.3995314199456885</v>
      </c>
    </row>
    <row r="38" spans="2:3" x14ac:dyDescent="0.45">
      <c r="B38" s="109">
        <f>Input!C23</f>
        <v>90</v>
      </c>
      <c r="C38" s="56">
        <f t="shared" si="0"/>
        <v>-3.6004685800543115</v>
      </c>
    </row>
    <row r="39" spans="2:3" x14ac:dyDescent="0.45">
      <c r="B39" s="109">
        <f>Input!C24</f>
        <v>95</v>
      </c>
      <c r="C39" s="56">
        <f t="shared" si="0"/>
        <v>-8.6004685800543115</v>
      </c>
    </row>
    <row r="40" spans="2:3" x14ac:dyDescent="0.45">
      <c r="B40" s="109">
        <f>Input!C25</f>
        <v>100</v>
      </c>
      <c r="C40" s="56">
        <f t="shared" si="0"/>
        <v>-13.600468580054311</v>
      </c>
    </row>
    <row r="41" spans="2:3" x14ac:dyDescent="0.45">
      <c r="B41" s="109">
        <f>Input!C26</f>
        <v>105</v>
      </c>
      <c r="C41" s="56">
        <f t="shared" si="0"/>
        <v>-18.600468580054311</v>
      </c>
    </row>
    <row r="42" spans="2:3" x14ac:dyDescent="0.45">
      <c r="B42" s="109">
        <f>Input!C27</f>
        <v>110</v>
      </c>
      <c r="C42" s="56">
        <f t="shared" si="0"/>
        <v>-23.600468580054311</v>
      </c>
    </row>
    <row r="43" spans="2:3" x14ac:dyDescent="0.45">
      <c r="B43" s="109">
        <f>Input!C28</f>
        <v>115</v>
      </c>
      <c r="C43" s="56">
        <f t="shared" si="0"/>
        <v>-28.600468580054311</v>
      </c>
    </row>
    <row r="44" spans="2:3" x14ac:dyDescent="0.45">
      <c r="B44" s="109">
        <f>Input!C29</f>
        <v>120</v>
      </c>
      <c r="C44" s="56">
        <f t="shared" si="0"/>
        <v>-33.600468580054311</v>
      </c>
    </row>
    <row r="45" spans="2:3" x14ac:dyDescent="0.45">
      <c r="B45" s="109">
        <f>Input!C30</f>
        <v>125</v>
      </c>
      <c r="C45" s="56">
        <f t="shared" si="0"/>
        <v>-38.600468580054311</v>
      </c>
    </row>
    <row r="46" spans="2:3" x14ac:dyDescent="0.45">
      <c r="B46" s="109">
        <f>Input!C31</f>
        <v>130</v>
      </c>
      <c r="C46" s="56">
        <f t="shared" si="0"/>
        <v>-43.600468580054311</v>
      </c>
    </row>
    <row r="47" spans="2:3" x14ac:dyDescent="0.45">
      <c r="B47" s="109">
        <f>Input!C32</f>
        <v>135</v>
      </c>
      <c r="C47" s="56">
        <f t="shared" si="0"/>
        <v>-48.600468580054311</v>
      </c>
    </row>
    <row r="48" spans="2:3" x14ac:dyDescent="0.45">
      <c r="B48" s="110">
        <f>Input!C33</f>
        <v>140</v>
      </c>
      <c r="C48" s="57">
        <f t="shared" si="0"/>
        <v>-53.600468580054304</v>
      </c>
    </row>
    <row r="50" spans="2:3" x14ac:dyDescent="0.45">
      <c r="B50" s="296" t="s">
        <v>262</v>
      </c>
      <c r="C50" s="223">
        <f>C7+C10</f>
        <v>18.399531419945689</v>
      </c>
    </row>
  </sheetData>
  <conditionalFormatting sqref="A1:XFD4 A5:B5 D5:XFD5 A6:XFD11 A49:XFD49 A12:A48 D12:XFD48 B19:C48 A51:XFD1048576 A50 D50:XFD50">
    <cfRule type="containsBlanks" dxfId="305" priority="5">
      <formula>LEN(TRIM(A1))=0</formula>
    </cfRule>
  </conditionalFormatting>
  <conditionalFormatting sqref="B12:C18">
    <cfRule type="containsBlanks" dxfId="304" priority="4">
      <formula>LEN(TRIM(B12))=0</formula>
    </cfRule>
  </conditionalFormatting>
  <conditionalFormatting sqref="C50">
    <cfRule type="containsBlanks" dxfId="303" priority="3">
      <formula>LEN(TRIM(C50))=0</formula>
    </cfRule>
  </conditionalFormatting>
  <conditionalFormatting sqref="B50">
    <cfRule type="containsBlanks" dxfId="302" priority="1">
      <formula>LEN(TRIM(B50))=0</formula>
    </cfRule>
  </conditionalFormatting>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79998168889431442"/>
  </sheetPr>
  <dimension ref="B3:C50"/>
  <sheetViews>
    <sheetView zoomScale="69" zoomScaleNormal="69" workbookViewId="0">
      <selection activeCell="R47" sqref="R47"/>
    </sheetView>
  </sheetViews>
  <sheetFormatPr baseColWidth="10" defaultColWidth="9.1328125" defaultRowHeight="14.25" x14ac:dyDescent="0.45"/>
  <cols>
    <col min="2" max="2" width="48" bestFit="1" customWidth="1"/>
  </cols>
  <sheetData>
    <row r="3" spans="2:3" ht="15.75" x14ac:dyDescent="0.5">
      <c r="B3" s="112" t="s">
        <v>124</v>
      </c>
    </row>
    <row r="4" spans="2:3" ht="14.65" thickBot="1" x14ac:dyDescent="0.5"/>
    <row r="5" spans="2:3" x14ac:dyDescent="0.45">
      <c r="B5" s="2" t="s">
        <v>0</v>
      </c>
      <c r="C5" s="7"/>
    </row>
    <row r="6" spans="2:3" x14ac:dyDescent="0.45">
      <c r="B6" s="3" t="s">
        <v>67</v>
      </c>
      <c r="C6" s="101">
        <f>Input!C61</f>
        <v>1</v>
      </c>
    </row>
    <row r="7" spans="2:3" x14ac:dyDescent="0.45">
      <c r="B7" s="3" t="s">
        <v>68</v>
      </c>
      <c r="C7" s="101">
        <f>'Ableitung Optionspreise'!L27</f>
        <v>6.1273274075246036</v>
      </c>
    </row>
    <row r="8" spans="2:3" x14ac:dyDescent="0.45">
      <c r="B8" s="3" t="s">
        <v>69</v>
      </c>
      <c r="C8" s="101">
        <f>Input!C45</f>
        <v>72</v>
      </c>
    </row>
    <row r="9" spans="2:3" x14ac:dyDescent="0.45">
      <c r="B9" s="3" t="s">
        <v>70</v>
      </c>
      <c r="C9" s="101">
        <f>Input!C61</f>
        <v>1</v>
      </c>
    </row>
    <row r="10" spans="2:3" x14ac:dyDescent="0.45">
      <c r="B10" s="3" t="s">
        <v>71</v>
      </c>
      <c r="C10" s="101">
        <f>'Ableitung Optionspreise'!C27</f>
        <v>7.6746297338894109</v>
      </c>
    </row>
    <row r="11" spans="2:3" x14ac:dyDescent="0.45">
      <c r="B11" s="3" t="s">
        <v>72</v>
      </c>
      <c r="C11" s="101">
        <f>Input!C43</f>
        <v>68</v>
      </c>
    </row>
    <row r="12" spans="2:3" x14ac:dyDescent="0.45">
      <c r="B12" s="3" t="s">
        <v>91</v>
      </c>
      <c r="C12" s="101">
        <f>Input!C61</f>
        <v>1</v>
      </c>
    </row>
    <row r="13" spans="2:3" x14ac:dyDescent="0.45">
      <c r="B13" s="3" t="s">
        <v>92</v>
      </c>
      <c r="C13" s="101">
        <f>Input!C48</f>
        <v>5.46</v>
      </c>
    </row>
    <row r="14" spans="2:3" x14ac:dyDescent="0.45">
      <c r="B14" s="3" t="s">
        <v>93</v>
      </c>
      <c r="C14" s="101">
        <f>Input!C46</f>
        <v>74</v>
      </c>
    </row>
    <row r="15" spans="2:3" x14ac:dyDescent="0.45">
      <c r="B15" s="3" t="s">
        <v>94</v>
      </c>
      <c r="C15" s="101">
        <f>Input!C61</f>
        <v>1</v>
      </c>
    </row>
    <row r="16" spans="2:3" x14ac:dyDescent="0.45">
      <c r="B16" s="3" t="s">
        <v>95</v>
      </c>
      <c r="C16" s="101">
        <f>Input!C49</f>
        <v>8.56</v>
      </c>
    </row>
    <row r="17" spans="2:3" ht="14.65" thickBot="1" x14ac:dyDescent="0.5">
      <c r="B17" s="6" t="s">
        <v>96</v>
      </c>
      <c r="C17" s="111">
        <f>Input!C47</f>
        <v>66</v>
      </c>
    </row>
    <row r="18" spans="2:3" x14ac:dyDescent="0.45">
      <c r="B18" s="36"/>
      <c r="C18" s="36"/>
    </row>
    <row r="19" spans="2:3" x14ac:dyDescent="0.45">
      <c r="B19" s="54" t="s">
        <v>4</v>
      </c>
      <c r="C19" s="55" t="s">
        <v>19</v>
      </c>
    </row>
    <row r="20" spans="2:3" x14ac:dyDescent="0.45">
      <c r="B20" s="109">
        <f>Input!C5</f>
        <v>0</v>
      </c>
      <c r="C20" s="56">
        <f>SUM(IF(B20&gt;$C$8,B20-$C$8-$C$7,-$C$7)*$C$6,IF(B20&gt;$C$11,B20-$C$11-$C$10,-$C$10)*$C$9,IF(B20&gt;$C$14,$C$14-B20+$C$13,$C$13)*$C$12,IF(B20&gt;$C$17,$C$17-B20+$C$16,$C$16)*$C$15)</f>
        <v>0.21804285858598682</v>
      </c>
    </row>
    <row r="21" spans="2:3" x14ac:dyDescent="0.45">
      <c r="B21" s="109">
        <f>Input!C6</f>
        <v>5</v>
      </c>
      <c r="C21" s="56">
        <f t="shared" ref="C21:C48" si="0">SUM(IF(B21&gt;$C$8,B21-$C$8-$C$7,-$C$7)*$C$6,IF(B21&gt;$C$11,B21-$C$11-$C$10,-$C$10)*$C$9,IF(B21&gt;$C$14,$C$14-B21+$C$13,$C$13)*$C$12,IF(B21&gt;$C$17,$C$17-B21+$C$16,$C$16)*$C$15)</f>
        <v>0.21804285858598682</v>
      </c>
    </row>
    <row r="22" spans="2:3" x14ac:dyDescent="0.45">
      <c r="B22" s="109">
        <f>Input!C7</f>
        <v>10</v>
      </c>
      <c r="C22" s="56">
        <f t="shared" si="0"/>
        <v>0.21804285858598682</v>
      </c>
    </row>
    <row r="23" spans="2:3" x14ac:dyDescent="0.45">
      <c r="B23" s="109">
        <f>Input!C8</f>
        <v>15</v>
      </c>
      <c r="C23" s="56">
        <f t="shared" si="0"/>
        <v>0.21804285858598682</v>
      </c>
    </row>
    <row r="24" spans="2:3" x14ac:dyDescent="0.45">
      <c r="B24" s="109">
        <f>Input!C9</f>
        <v>20</v>
      </c>
      <c r="C24" s="56">
        <f t="shared" si="0"/>
        <v>0.21804285858598682</v>
      </c>
    </row>
    <row r="25" spans="2:3" x14ac:dyDescent="0.45">
      <c r="B25" s="109">
        <f>Input!C10</f>
        <v>25</v>
      </c>
      <c r="C25" s="56">
        <f t="shared" si="0"/>
        <v>0.21804285858598682</v>
      </c>
    </row>
    <row r="26" spans="2:3" x14ac:dyDescent="0.45">
      <c r="B26" s="109">
        <f>Input!C11</f>
        <v>30</v>
      </c>
      <c r="C26" s="56">
        <f t="shared" si="0"/>
        <v>0.21804285858598682</v>
      </c>
    </row>
    <row r="27" spans="2:3" x14ac:dyDescent="0.45">
      <c r="B27" s="109">
        <f>Input!C12</f>
        <v>35</v>
      </c>
      <c r="C27" s="56">
        <f t="shared" si="0"/>
        <v>0.21804285858598682</v>
      </c>
    </row>
    <row r="28" spans="2:3" x14ac:dyDescent="0.45">
      <c r="B28" s="109">
        <f>Input!C13</f>
        <v>40</v>
      </c>
      <c r="C28" s="56">
        <f t="shared" si="0"/>
        <v>0.21804285858598682</v>
      </c>
    </row>
    <row r="29" spans="2:3" x14ac:dyDescent="0.45">
      <c r="B29" s="109">
        <f>Input!C14</f>
        <v>45</v>
      </c>
      <c r="C29" s="56">
        <f t="shared" si="0"/>
        <v>0.21804285858598682</v>
      </c>
    </row>
    <row r="30" spans="2:3" x14ac:dyDescent="0.45">
      <c r="B30" s="109">
        <f>Input!C15</f>
        <v>50</v>
      </c>
      <c r="C30" s="56">
        <f t="shared" si="0"/>
        <v>0.21804285858598682</v>
      </c>
    </row>
    <row r="31" spans="2:3" x14ac:dyDescent="0.45">
      <c r="B31" s="109">
        <f>Input!C16</f>
        <v>55</v>
      </c>
      <c r="C31" s="56">
        <f t="shared" si="0"/>
        <v>0.21804285858598682</v>
      </c>
    </row>
    <row r="32" spans="2:3" x14ac:dyDescent="0.45">
      <c r="B32" s="109">
        <f>Input!C17</f>
        <v>60</v>
      </c>
      <c r="C32" s="56">
        <f t="shared" si="0"/>
        <v>0.21804285858598682</v>
      </c>
    </row>
    <row r="33" spans="2:3" x14ac:dyDescent="0.45">
      <c r="B33" s="109">
        <f>Input!C18</f>
        <v>65</v>
      </c>
      <c r="C33" s="56">
        <f t="shared" si="0"/>
        <v>0.21804285858598682</v>
      </c>
    </row>
    <row r="34" spans="2:3" x14ac:dyDescent="0.45">
      <c r="B34" s="109">
        <f>Input!C19</f>
        <v>70</v>
      </c>
      <c r="C34" s="56">
        <f t="shared" si="0"/>
        <v>-1.7819571414140141</v>
      </c>
    </row>
    <row r="35" spans="2:3" x14ac:dyDescent="0.45">
      <c r="B35" s="109">
        <f>Input!C20</f>
        <v>75</v>
      </c>
      <c r="C35" s="56">
        <f t="shared" si="0"/>
        <v>0.21804285858598593</v>
      </c>
    </row>
    <row r="36" spans="2:3" x14ac:dyDescent="0.45">
      <c r="B36" s="109">
        <f>Input!C21</f>
        <v>80</v>
      </c>
      <c r="C36" s="56">
        <f t="shared" si="0"/>
        <v>0.21804285858598593</v>
      </c>
    </row>
    <row r="37" spans="2:3" x14ac:dyDescent="0.45">
      <c r="B37" s="109">
        <f>Input!C22</f>
        <v>85</v>
      </c>
      <c r="C37" s="56">
        <f t="shared" si="0"/>
        <v>0.21804285858598682</v>
      </c>
    </row>
    <row r="38" spans="2:3" x14ac:dyDescent="0.45">
      <c r="B38" s="109">
        <f>Input!C23</f>
        <v>90</v>
      </c>
      <c r="C38" s="56">
        <f t="shared" si="0"/>
        <v>0.21804285858598682</v>
      </c>
    </row>
    <row r="39" spans="2:3" x14ac:dyDescent="0.45">
      <c r="B39" s="109">
        <f>Input!C24</f>
        <v>95</v>
      </c>
      <c r="C39" s="56">
        <f t="shared" si="0"/>
        <v>0.2180428585859886</v>
      </c>
    </row>
    <row r="40" spans="2:3" x14ac:dyDescent="0.45">
      <c r="B40" s="109">
        <f>Input!C25</f>
        <v>100</v>
      </c>
      <c r="C40" s="56">
        <f t="shared" si="0"/>
        <v>0.2180428585859886</v>
      </c>
    </row>
    <row r="41" spans="2:3" x14ac:dyDescent="0.45">
      <c r="B41" s="109">
        <f>Input!C26</f>
        <v>105</v>
      </c>
      <c r="C41" s="56">
        <f t="shared" si="0"/>
        <v>0.2180428585859886</v>
      </c>
    </row>
    <row r="42" spans="2:3" x14ac:dyDescent="0.45">
      <c r="B42" s="109">
        <f>Input!C27</f>
        <v>110</v>
      </c>
      <c r="C42" s="56">
        <f t="shared" si="0"/>
        <v>0.21804285858598149</v>
      </c>
    </row>
    <row r="43" spans="2:3" x14ac:dyDescent="0.45">
      <c r="B43" s="109">
        <f>Input!C28</f>
        <v>115</v>
      </c>
      <c r="C43" s="56">
        <f t="shared" si="0"/>
        <v>0.21804285858598149</v>
      </c>
    </row>
    <row r="44" spans="2:3" x14ac:dyDescent="0.45">
      <c r="B44" s="109">
        <f>Input!C29</f>
        <v>120</v>
      </c>
      <c r="C44" s="56">
        <f t="shared" si="0"/>
        <v>0.21804285858598149</v>
      </c>
    </row>
    <row r="45" spans="2:3" x14ac:dyDescent="0.45">
      <c r="B45" s="109">
        <f>Input!C30</f>
        <v>125</v>
      </c>
      <c r="C45" s="56">
        <f t="shared" si="0"/>
        <v>0.21804285858598149</v>
      </c>
    </row>
    <row r="46" spans="2:3" x14ac:dyDescent="0.45">
      <c r="B46" s="109">
        <f>Input!C31</f>
        <v>130</v>
      </c>
      <c r="C46" s="56">
        <f t="shared" si="0"/>
        <v>0.21804285858598149</v>
      </c>
    </row>
    <row r="47" spans="2:3" x14ac:dyDescent="0.45">
      <c r="B47" s="109">
        <f>Input!C32</f>
        <v>135</v>
      </c>
      <c r="C47" s="56">
        <f t="shared" si="0"/>
        <v>0.21804285858598149</v>
      </c>
    </row>
    <row r="48" spans="2:3" x14ac:dyDescent="0.45">
      <c r="B48" s="110">
        <f>Input!C33</f>
        <v>140</v>
      </c>
      <c r="C48" s="57">
        <f t="shared" si="0"/>
        <v>0.2180428585859886</v>
      </c>
    </row>
    <row r="50" spans="2:3" x14ac:dyDescent="0.45">
      <c r="B50" s="296" t="s">
        <v>262</v>
      </c>
      <c r="C50" s="223">
        <f>C16+C13-C10-C7</f>
        <v>0.21804285858598504</v>
      </c>
    </row>
  </sheetData>
  <conditionalFormatting sqref="A1:XFD4 A5:B5 D5:XFD5 A51:XFD1048576 A50 D50:XFD50 A6:XFD49">
    <cfRule type="containsBlanks" dxfId="301" priority="4">
      <formula>LEN(TRIM(A1))=0</formula>
    </cfRule>
  </conditionalFormatting>
  <conditionalFormatting sqref="C50">
    <cfRule type="containsBlanks" dxfId="300" priority="3">
      <formula>LEN(TRIM(C50))=0</formula>
    </cfRule>
  </conditionalFormatting>
  <conditionalFormatting sqref="B50">
    <cfRule type="containsBlanks" dxfId="299" priority="1">
      <formula>LEN(TRIM(B50))=0</formula>
    </cfRule>
  </conditionalFormatting>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79998168889431442"/>
  </sheetPr>
  <dimension ref="B3:C51"/>
  <sheetViews>
    <sheetView zoomScale="68" zoomScaleNormal="68" workbookViewId="0">
      <selection activeCell="R47" sqref="R47"/>
    </sheetView>
  </sheetViews>
  <sheetFormatPr baseColWidth="10" defaultColWidth="9.1328125" defaultRowHeight="14.25" x14ac:dyDescent="0.45"/>
  <cols>
    <col min="2" max="2" width="45.3984375" bestFit="1" customWidth="1"/>
  </cols>
  <sheetData>
    <row r="3" spans="2:3" ht="15.75" x14ac:dyDescent="0.5">
      <c r="B3" s="112" t="s">
        <v>125</v>
      </c>
    </row>
    <row r="4" spans="2:3" ht="14.65" thickBot="1" x14ac:dyDescent="0.5"/>
    <row r="5" spans="2:3" x14ac:dyDescent="0.45">
      <c r="B5" s="2" t="s">
        <v>0</v>
      </c>
      <c r="C5" s="7"/>
    </row>
    <row r="6" spans="2:3" x14ac:dyDescent="0.45">
      <c r="B6" s="3" t="s">
        <v>35</v>
      </c>
      <c r="C6" s="101">
        <f>Input!C62</f>
        <v>2</v>
      </c>
    </row>
    <row r="7" spans="2:3" x14ac:dyDescent="0.45">
      <c r="B7" s="3" t="s">
        <v>34</v>
      </c>
      <c r="C7" s="101">
        <f>'Ableitung Optionspreise'!H27</f>
        <v>6.8648048002898712</v>
      </c>
    </row>
    <row r="8" spans="2:3" x14ac:dyDescent="0.45">
      <c r="B8" s="3" t="s">
        <v>33</v>
      </c>
      <c r="C8" s="101">
        <f>Input!C44</f>
        <v>70</v>
      </c>
    </row>
    <row r="9" spans="2:3" x14ac:dyDescent="0.45">
      <c r="B9" s="3" t="s">
        <v>61</v>
      </c>
      <c r="C9" s="101">
        <f>Input!C61</f>
        <v>1</v>
      </c>
    </row>
    <row r="10" spans="2:3" x14ac:dyDescent="0.45">
      <c r="B10" s="3" t="s">
        <v>62</v>
      </c>
      <c r="C10" s="101">
        <f>'Ableitung Optionspreise'!L27</f>
        <v>6.1273274075246036</v>
      </c>
    </row>
    <row r="11" spans="2:3" x14ac:dyDescent="0.45">
      <c r="B11" s="3" t="s">
        <v>63</v>
      </c>
      <c r="C11" s="101">
        <f>Input!C45</f>
        <v>72</v>
      </c>
    </row>
    <row r="12" spans="2:3" x14ac:dyDescent="0.45">
      <c r="B12" s="3" t="s">
        <v>64</v>
      </c>
      <c r="C12" s="101">
        <f>Input!C61</f>
        <v>1</v>
      </c>
    </row>
    <row r="13" spans="2:3" x14ac:dyDescent="0.45">
      <c r="B13" s="3" t="s">
        <v>65</v>
      </c>
      <c r="C13" s="101">
        <f>'Ableitung Optionspreise'!C27</f>
        <v>7.6746297338894109</v>
      </c>
    </row>
    <row r="14" spans="2:3" ht="14.65" thickBot="1" x14ac:dyDescent="0.5">
      <c r="B14" s="6" t="s">
        <v>66</v>
      </c>
      <c r="C14" s="111">
        <f>Input!C43</f>
        <v>68</v>
      </c>
    </row>
    <row r="15" spans="2:3" x14ac:dyDescent="0.45">
      <c r="B15" s="36"/>
      <c r="C15" s="36"/>
    </row>
    <row r="19" spans="2:3" x14ac:dyDescent="0.45">
      <c r="B19" s="54" t="s">
        <v>4</v>
      </c>
      <c r="C19" s="55" t="s">
        <v>19</v>
      </c>
    </row>
    <row r="20" spans="2:3" x14ac:dyDescent="0.45">
      <c r="B20" s="109">
        <f>Input!C5</f>
        <v>0</v>
      </c>
      <c r="C20" s="56">
        <f>SUM(IF(B20&gt;$C$8,B20-$C$8-$C$7,-$C$7)*$C$6,IF(B20&gt;$C$11,$C$11-B20+$C$10,$C$10)*$C$9,IF(B20&gt;$C$14,$C$14-B20+$C$13,$C$13)*$C$12)</f>
        <v>7.2347540834272195E-2</v>
      </c>
    </row>
    <row r="21" spans="2:3" x14ac:dyDescent="0.45">
      <c r="B21" s="109">
        <f>Input!C6</f>
        <v>5</v>
      </c>
      <c r="C21" s="56">
        <f t="shared" ref="C21:C48" si="0">SUM(IF(B21&gt;$C$8,B21-$C$8-$C$7,-$C$7)*$C$6,IF(B21&gt;$C$11,$C$11-B21+$C$10,$C$10)*$C$9,IF(B21&gt;$C$14,$C$14-B21+$C$13,$C$13)*$C$12)</f>
        <v>7.2347540834272195E-2</v>
      </c>
    </row>
    <row r="22" spans="2:3" x14ac:dyDescent="0.45">
      <c r="B22" s="109">
        <f>Input!C7</f>
        <v>10</v>
      </c>
      <c r="C22" s="56">
        <f t="shared" si="0"/>
        <v>7.2347540834272195E-2</v>
      </c>
    </row>
    <row r="23" spans="2:3" x14ac:dyDescent="0.45">
      <c r="B23" s="109">
        <f>Input!C8</f>
        <v>15</v>
      </c>
      <c r="C23" s="56">
        <f t="shared" si="0"/>
        <v>7.2347540834272195E-2</v>
      </c>
    </row>
    <row r="24" spans="2:3" x14ac:dyDescent="0.45">
      <c r="B24" s="109">
        <f>Input!C9</f>
        <v>20</v>
      </c>
      <c r="C24" s="56">
        <f t="shared" si="0"/>
        <v>7.2347540834272195E-2</v>
      </c>
    </row>
    <row r="25" spans="2:3" x14ac:dyDescent="0.45">
      <c r="B25" s="109">
        <f>Input!C10</f>
        <v>25</v>
      </c>
      <c r="C25" s="56">
        <f t="shared" si="0"/>
        <v>7.2347540834272195E-2</v>
      </c>
    </row>
    <row r="26" spans="2:3" x14ac:dyDescent="0.45">
      <c r="B26" s="109">
        <f>Input!C11</f>
        <v>30</v>
      </c>
      <c r="C26" s="56">
        <f t="shared" si="0"/>
        <v>7.2347540834272195E-2</v>
      </c>
    </row>
    <row r="27" spans="2:3" x14ac:dyDescent="0.45">
      <c r="B27" s="109">
        <f>Input!C12</f>
        <v>35</v>
      </c>
      <c r="C27" s="56">
        <f t="shared" si="0"/>
        <v>7.2347540834272195E-2</v>
      </c>
    </row>
    <row r="28" spans="2:3" x14ac:dyDescent="0.45">
      <c r="B28" s="109">
        <f>Input!C13</f>
        <v>40</v>
      </c>
      <c r="C28" s="56">
        <f t="shared" si="0"/>
        <v>7.2347540834272195E-2</v>
      </c>
    </row>
    <row r="29" spans="2:3" x14ac:dyDescent="0.45">
      <c r="B29" s="109">
        <f>Input!C14</f>
        <v>45</v>
      </c>
      <c r="C29" s="56">
        <f t="shared" si="0"/>
        <v>7.2347540834272195E-2</v>
      </c>
    </row>
    <row r="30" spans="2:3" x14ac:dyDescent="0.45">
      <c r="B30" s="109">
        <f>Input!C15</f>
        <v>50</v>
      </c>
      <c r="C30" s="56">
        <f t="shared" si="0"/>
        <v>7.2347540834272195E-2</v>
      </c>
    </row>
    <row r="31" spans="2:3" x14ac:dyDescent="0.45">
      <c r="B31" s="109">
        <f>Input!C16</f>
        <v>55</v>
      </c>
      <c r="C31" s="56">
        <f t="shared" si="0"/>
        <v>7.2347540834272195E-2</v>
      </c>
    </row>
    <row r="32" spans="2:3" x14ac:dyDescent="0.45">
      <c r="B32" s="109">
        <f>Input!C17</f>
        <v>60</v>
      </c>
      <c r="C32" s="56">
        <f t="shared" si="0"/>
        <v>7.2347540834272195E-2</v>
      </c>
    </row>
    <row r="33" spans="2:3" x14ac:dyDescent="0.45">
      <c r="B33" s="109">
        <f>Input!C18</f>
        <v>65</v>
      </c>
      <c r="C33" s="56">
        <f t="shared" si="0"/>
        <v>7.2347540834272195E-2</v>
      </c>
    </row>
    <row r="34" spans="2:3" x14ac:dyDescent="0.45">
      <c r="B34" s="109">
        <f>Input!C19</f>
        <v>70</v>
      </c>
      <c r="C34" s="56">
        <f t="shared" si="0"/>
        <v>-1.9276524591657278</v>
      </c>
    </row>
    <row r="35" spans="2:3" x14ac:dyDescent="0.45">
      <c r="B35" s="109">
        <f>Input!C20</f>
        <v>75</v>
      </c>
      <c r="C35" s="56">
        <f t="shared" si="0"/>
        <v>7.2347540834272195E-2</v>
      </c>
    </row>
    <row r="36" spans="2:3" x14ac:dyDescent="0.45">
      <c r="B36" s="109">
        <f>Input!C21</f>
        <v>80</v>
      </c>
      <c r="C36" s="56">
        <f t="shared" si="0"/>
        <v>7.2347540834272195E-2</v>
      </c>
    </row>
    <row r="37" spans="2:3" x14ac:dyDescent="0.45">
      <c r="B37" s="109">
        <f>Input!C22</f>
        <v>85</v>
      </c>
      <c r="C37" s="56">
        <f t="shared" si="0"/>
        <v>7.2347540834272195E-2</v>
      </c>
    </row>
    <row r="38" spans="2:3" x14ac:dyDescent="0.45">
      <c r="B38" s="109">
        <f>Input!C23</f>
        <v>90</v>
      </c>
      <c r="C38" s="56">
        <f t="shared" si="0"/>
        <v>7.2347540834272195E-2</v>
      </c>
    </row>
    <row r="39" spans="2:3" x14ac:dyDescent="0.45">
      <c r="B39" s="109">
        <f>Input!C24</f>
        <v>95</v>
      </c>
      <c r="C39" s="56">
        <f t="shared" si="0"/>
        <v>7.2347540834272195E-2</v>
      </c>
    </row>
    <row r="40" spans="2:3" x14ac:dyDescent="0.45">
      <c r="B40" s="109">
        <f>Input!C25</f>
        <v>100</v>
      </c>
      <c r="C40" s="56">
        <f t="shared" si="0"/>
        <v>7.2347540834272195E-2</v>
      </c>
    </row>
    <row r="41" spans="2:3" x14ac:dyDescent="0.45">
      <c r="B41" s="109">
        <f>Input!C26</f>
        <v>105</v>
      </c>
      <c r="C41" s="56">
        <f t="shared" si="0"/>
        <v>7.2347540834272195E-2</v>
      </c>
    </row>
    <row r="42" spans="2:3" x14ac:dyDescent="0.45">
      <c r="B42" s="109">
        <f>Input!C27</f>
        <v>110</v>
      </c>
      <c r="C42" s="56">
        <f t="shared" si="0"/>
        <v>7.2347540834265089E-2</v>
      </c>
    </row>
    <row r="43" spans="2:3" x14ac:dyDescent="0.45">
      <c r="B43" s="109">
        <f>Input!C28</f>
        <v>115</v>
      </c>
      <c r="C43" s="56">
        <f t="shared" si="0"/>
        <v>7.2347540834265089E-2</v>
      </c>
    </row>
    <row r="44" spans="2:3" x14ac:dyDescent="0.45">
      <c r="B44" s="109">
        <f>Input!C29</f>
        <v>120</v>
      </c>
      <c r="C44" s="56">
        <f t="shared" si="0"/>
        <v>7.2347540834265089E-2</v>
      </c>
    </row>
    <row r="45" spans="2:3" x14ac:dyDescent="0.45">
      <c r="B45" s="109">
        <f>Input!C30</f>
        <v>125</v>
      </c>
      <c r="C45" s="56">
        <f t="shared" si="0"/>
        <v>7.2347540834265089E-2</v>
      </c>
    </row>
    <row r="46" spans="2:3" x14ac:dyDescent="0.45">
      <c r="B46" s="109">
        <f>Input!C31</f>
        <v>130</v>
      </c>
      <c r="C46" s="56">
        <f t="shared" si="0"/>
        <v>7.2347540834265089E-2</v>
      </c>
    </row>
    <row r="47" spans="2:3" x14ac:dyDescent="0.45">
      <c r="B47" s="109">
        <f>Input!C32</f>
        <v>135</v>
      </c>
      <c r="C47" s="56">
        <f t="shared" si="0"/>
        <v>7.2347540834265089E-2</v>
      </c>
    </row>
    <row r="48" spans="2:3" x14ac:dyDescent="0.45">
      <c r="B48" s="110">
        <f>Input!C33</f>
        <v>140</v>
      </c>
      <c r="C48" s="57">
        <f t="shared" si="0"/>
        <v>7.2347540834272195E-2</v>
      </c>
    </row>
    <row r="51" spans="2:3" x14ac:dyDescent="0.45">
      <c r="B51" s="296" t="s">
        <v>262</v>
      </c>
      <c r="C51" s="223">
        <f>C13+C10-(C6*C7)</f>
        <v>7.2347540834272195E-2</v>
      </c>
    </row>
  </sheetData>
  <conditionalFormatting sqref="A1:XFD4 A5:B5 D5:XFD5 A6:XFD15 A49:XFD50 A16:A48 D16:XFD48 B19:C48 A52:XFD1048576 A51 D51:XFD51">
    <cfRule type="containsBlanks" dxfId="298" priority="5">
      <formula>LEN(TRIM(A1))=0</formula>
    </cfRule>
  </conditionalFormatting>
  <conditionalFormatting sqref="B16:C18">
    <cfRule type="containsBlanks" dxfId="297" priority="4">
      <formula>LEN(TRIM(B16))=0</formula>
    </cfRule>
  </conditionalFormatting>
  <conditionalFormatting sqref="C51">
    <cfRule type="containsBlanks" dxfId="296" priority="3">
      <formula>LEN(TRIM(C51))=0</formula>
    </cfRule>
  </conditionalFormatting>
  <conditionalFormatting sqref="B51">
    <cfRule type="containsBlanks" dxfId="295" priority="1">
      <formula>LEN(TRIM(B51))=0</formula>
    </cfRule>
  </conditionalFormatting>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7" tint="0.79998168889431442"/>
  </sheetPr>
  <dimension ref="B3:C50"/>
  <sheetViews>
    <sheetView zoomScale="69" zoomScaleNormal="69" workbookViewId="0">
      <selection activeCell="R47" sqref="R47"/>
    </sheetView>
  </sheetViews>
  <sheetFormatPr baseColWidth="10" defaultColWidth="9.1328125" defaultRowHeight="14.25" x14ac:dyDescent="0.45"/>
  <cols>
    <col min="2" max="2" width="37.265625" customWidth="1"/>
    <col min="3" max="3" width="15.265625" customWidth="1"/>
  </cols>
  <sheetData>
    <row r="3" spans="2:3" ht="15.75" x14ac:dyDescent="0.5">
      <c r="B3" s="112" t="s">
        <v>126</v>
      </c>
    </row>
    <row r="4" spans="2:3" ht="14.65" thickBot="1" x14ac:dyDescent="0.5"/>
    <row r="5" spans="2:3" x14ac:dyDescent="0.45">
      <c r="B5" s="2" t="s">
        <v>0</v>
      </c>
      <c r="C5" s="7"/>
    </row>
    <row r="6" spans="2:3" x14ac:dyDescent="0.45">
      <c r="B6" s="3" t="s">
        <v>39</v>
      </c>
      <c r="C6" s="101">
        <f>Input!C64</f>
        <v>2</v>
      </c>
    </row>
    <row r="7" spans="2:3" x14ac:dyDescent="0.45">
      <c r="B7" s="3" t="s">
        <v>40</v>
      </c>
      <c r="C7" s="101">
        <f>'Ableitung Optionspreise'!I27</f>
        <v>9.4822794113231978</v>
      </c>
    </row>
    <row r="8" spans="2:3" x14ac:dyDescent="0.45">
      <c r="B8" s="3" t="s">
        <v>41</v>
      </c>
      <c r="C8" s="101">
        <f>Input!C44</f>
        <v>70</v>
      </c>
    </row>
    <row r="9" spans="2:3" x14ac:dyDescent="0.45">
      <c r="B9" s="3" t="s">
        <v>82</v>
      </c>
      <c r="C9" s="101">
        <f>Input!C63</f>
        <v>1</v>
      </c>
    </row>
    <row r="10" spans="2:3" x14ac:dyDescent="0.45">
      <c r="B10" s="3" t="s">
        <v>83</v>
      </c>
      <c r="C10" s="101">
        <f>'Ableitung Optionspreise'!D27</f>
        <v>8.3120046774244081</v>
      </c>
    </row>
    <row r="11" spans="2:3" x14ac:dyDescent="0.45">
      <c r="B11" s="3" t="s">
        <v>84</v>
      </c>
      <c r="C11" s="101">
        <f>Input!C43</f>
        <v>68</v>
      </c>
    </row>
    <row r="12" spans="2:3" x14ac:dyDescent="0.45">
      <c r="B12" s="3" t="s">
        <v>97</v>
      </c>
      <c r="C12" s="101">
        <f>Input!C63</f>
        <v>1</v>
      </c>
    </row>
    <row r="13" spans="2:3" x14ac:dyDescent="0.45">
      <c r="B13" s="3" t="s">
        <v>98</v>
      </c>
      <c r="C13" s="101">
        <f>'Ableitung Optionspreise'!M27</f>
        <v>10.724901686056278</v>
      </c>
    </row>
    <row r="14" spans="2:3" ht="14.65" thickBot="1" x14ac:dyDescent="0.5">
      <c r="B14" s="6" t="s">
        <v>99</v>
      </c>
      <c r="C14" s="111">
        <f>Input!C45</f>
        <v>72</v>
      </c>
    </row>
    <row r="15" spans="2:3" x14ac:dyDescent="0.45">
      <c r="B15" s="36"/>
      <c r="C15" s="36"/>
    </row>
    <row r="19" spans="2:3" x14ac:dyDescent="0.45">
      <c r="B19" s="54" t="s">
        <v>4</v>
      </c>
      <c r="C19" s="55" t="s">
        <v>19</v>
      </c>
    </row>
    <row r="20" spans="2:3" x14ac:dyDescent="0.45">
      <c r="B20" s="109">
        <f>Input!C5</f>
        <v>0</v>
      </c>
      <c r="C20" s="56">
        <f>SUM(IF(B20&lt;$C$8,$C$8-B20-$C$7,-$C$7)*$C$6,IF(B20&lt;$C$11,B20-$C$11+$C$10,$C$10)*$C$9,IF(B20&lt;$C$14,B20-$C$14+$C$13,$C$13)*$C$12)</f>
        <v>7.2347540834293511E-2</v>
      </c>
    </row>
    <row r="21" spans="2:3" x14ac:dyDescent="0.45">
      <c r="B21" s="109">
        <f>Input!C6</f>
        <v>5</v>
      </c>
      <c r="C21" s="56">
        <f t="shared" ref="C21:C48" si="0">SUM(IF(B21&lt;$C$8,$C$8-B21-$C$7,-$C$7)*$C$6,IF(B21&lt;$C$11,B21-$C$11+$C$10,$C$10)*$C$9,IF(B21&lt;$C$14,B21-$C$14+$C$13,$C$13)*$C$12)</f>
        <v>7.2347540834293511E-2</v>
      </c>
    </row>
    <row r="22" spans="2:3" x14ac:dyDescent="0.45">
      <c r="B22" s="109">
        <f>Input!C7</f>
        <v>10</v>
      </c>
      <c r="C22" s="56">
        <f t="shared" si="0"/>
        <v>7.2347540834293511E-2</v>
      </c>
    </row>
    <row r="23" spans="2:3" x14ac:dyDescent="0.45">
      <c r="B23" s="109">
        <f>Input!C8</f>
        <v>15</v>
      </c>
      <c r="C23" s="56">
        <f t="shared" si="0"/>
        <v>7.2347540834293511E-2</v>
      </c>
    </row>
    <row r="24" spans="2:3" x14ac:dyDescent="0.45">
      <c r="B24" s="109">
        <f>Input!C9</f>
        <v>20</v>
      </c>
      <c r="C24" s="56">
        <f t="shared" si="0"/>
        <v>7.2347540834293511E-2</v>
      </c>
    </row>
    <row r="25" spans="2:3" x14ac:dyDescent="0.45">
      <c r="B25" s="109">
        <f>Input!C10</f>
        <v>25</v>
      </c>
      <c r="C25" s="56">
        <f t="shared" si="0"/>
        <v>7.2347540834293511E-2</v>
      </c>
    </row>
    <row r="26" spans="2:3" x14ac:dyDescent="0.45">
      <c r="B26" s="109">
        <f>Input!C11</f>
        <v>30</v>
      </c>
      <c r="C26" s="56">
        <f t="shared" si="0"/>
        <v>7.2347540834289958E-2</v>
      </c>
    </row>
    <row r="27" spans="2:3" x14ac:dyDescent="0.45">
      <c r="B27" s="109">
        <f>Input!C12</f>
        <v>35</v>
      </c>
      <c r="C27" s="56">
        <f t="shared" si="0"/>
        <v>7.2347540834289958E-2</v>
      </c>
    </row>
    <row r="28" spans="2:3" x14ac:dyDescent="0.45">
      <c r="B28" s="109">
        <f>Input!C13</f>
        <v>40</v>
      </c>
      <c r="C28" s="56">
        <f t="shared" si="0"/>
        <v>7.2347540834289958E-2</v>
      </c>
    </row>
    <row r="29" spans="2:3" x14ac:dyDescent="0.45">
      <c r="B29" s="109">
        <f>Input!C14</f>
        <v>45</v>
      </c>
      <c r="C29" s="56">
        <f t="shared" si="0"/>
        <v>7.2347540834289958E-2</v>
      </c>
    </row>
    <row r="30" spans="2:3" x14ac:dyDescent="0.45">
      <c r="B30" s="109">
        <f>Input!C15</f>
        <v>50</v>
      </c>
      <c r="C30" s="56">
        <f t="shared" si="0"/>
        <v>7.2347540834289958E-2</v>
      </c>
    </row>
    <row r="31" spans="2:3" x14ac:dyDescent="0.45">
      <c r="B31" s="109">
        <f>Input!C16</f>
        <v>55</v>
      </c>
      <c r="C31" s="56">
        <f t="shared" si="0"/>
        <v>7.2347540834289958E-2</v>
      </c>
    </row>
    <row r="32" spans="2:3" x14ac:dyDescent="0.45">
      <c r="B32" s="109">
        <f>Input!C17</f>
        <v>60</v>
      </c>
      <c r="C32" s="56">
        <f t="shared" si="0"/>
        <v>7.2347540834289958E-2</v>
      </c>
    </row>
    <row r="33" spans="2:3" x14ac:dyDescent="0.45">
      <c r="B33" s="109">
        <f>Input!C18</f>
        <v>65</v>
      </c>
      <c r="C33" s="56">
        <f t="shared" si="0"/>
        <v>7.2347540834289958E-2</v>
      </c>
    </row>
    <row r="34" spans="2:3" x14ac:dyDescent="0.45">
      <c r="B34" s="109">
        <f>Input!C19</f>
        <v>70</v>
      </c>
      <c r="C34" s="56">
        <f t="shared" si="0"/>
        <v>-1.92765245916571</v>
      </c>
    </row>
    <row r="35" spans="2:3" x14ac:dyDescent="0.45">
      <c r="B35" s="109">
        <f>Input!C20</f>
        <v>75</v>
      </c>
      <c r="C35" s="56">
        <f t="shared" si="0"/>
        <v>7.2347540834289958E-2</v>
      </c>
    </row>
    <row r="36" spans="2:3" x14ac:dyDescent="0.45">
      <c r="B36" s="109">
        <f>Input!C21</f>
        <v>80</v>
      </c>
      <c r="C36" s="56">
        <f t="shared" si="0"/>
        <v>7.2347540834289958E-2</v>
      </c>
    </row>
    <row r="37" spans="2:3" x14ac:dyDescent="0.45">
      <c r="B37" s="109">
        <f>Input!C22</f>
        <v>85</v>
      </c>
      <c r="C37" s="56">
        <f t="shared" si="0"/>
        <v>7.2347540834289958E-2</v>
      </c>
    </row>
    <row r="38" spans="2:3" x14ac:dyDescent="0.45">
      <c r="B38" s="109">
        <f>Input!C23</f>
        <v>90</v>
      </c>
      <c r="C38" s="56">
        <f t="shared" si="0"/>
        <v>7.2347540834289958E-2</v>
      </c>
    </row>
    <row r="39" spans="2:3" x14ac:dyDescent="0.45">
      <c r="B39" s="109">
        <f>Input!C24</f>
        <v>95</v>
      </c>
      <c r="C39" s="56">
        <f t="shared" si="0"/>
        <v>7.2347540834289958E-2</v>
      </c>
    </row>
    <row r="40" spans="2:3" x14ac:dyDescent="0.45">
      <c r="B40" s="109">
        <f>Input!C25</f>
        <v>100</v>
      </c>
      <c r="C40" s="56">
        <f t="shared" si="0"/>
        <v>7.2347540834289958E-2</v>
      </c>
    </row>
    <row r="41" spans="2:3" x14ac:dyDescent="0.45">
      <c r="B41" s="109">
        <f>Input!C26</f>
        <v>105</v>
      </c>
      <c r="C41" s="56">
        <f t="shared" si="0"/>
        <v>7.2347540834289958E-2</v>
      </c>
    </row>
    <row r="42" spans="2:3" x14ac:dyDescent="0.45">
      <c r="B42" s="109">
        <f>Input!C27</f>
        <v>110</v>
      </c>
      <c r="C42" s="56">
        <f t="shared" si="0"/>
        <v>7.2347540834289958E-2</v>
      </c>
    </row>
    <row r="43" spans="2:3" x14ac:dyDescent="0.45">
      <c r="B43" s="109">
        <f>Input!C28</f>
        <v>115</v>
      </c>
      <c r="C43" s="56">
        <f t="shared" si="0"/>
        <v>7.2347540834289958E-2</v>
      </c>
    </row>
    <row r="44" spans="2:3" x14ac:dyDescent="0.45">
      <c r="B44" s="109">
        <f>Input!C29</f>
        <v>120</v>
      </c>
      <c r="C44" s="56">
        <f t="shared" si="0"/>
        <v>7.2347540834289958E-2</v>
      </c>
    </row>
    <row r="45" spans="2:3" x14ac:dyDescent="0.45">
      <c r="B45" s="109">
        <f>Input!C30</f>
        <v>125</v>
      </c>
      <c r="C45" s="56">
        <f t="shared" si="0"/>
        <v>7.2347540834289958E-2</v>
      </c>
    </row>
    <row r="46" spans="2:3" x14ac:dyDescent="0.45">
      <c r="B46" s="109">
        <f>Input!C31</f>
        <v>130</v>
      </c>
      <c r="C46" s="56">
        <f t="shared" si="0"/>
        <v>7.2347540834289958E-2</v>
      </c>
    </row>
    <row r="47" spans="2:3" x14ac:dyDescent="0.45">
      <c r="B47" s="109">
        <f>Input!C32</f>
        <v>135</v>
      </c>
      <c r="C47" s="56">
        <f t="shared" si="0"/>
        <v>7.2347540834289958E-2</v>
      </c>
    </row>
    <row r="48" spans="2:3" x14ac:dyDescent="0.45">
      <c r="B48" s="110">
        <f>Input!C33</f>
        <v>140</v>
      </c>
      <c r="C48" s="57">
        <f t="shared" si="0"/>
        <v>7.2347540834289958E-2</v>
      </c>
    </row>
    <row r="50" spans="2:3" x14ac:dyDescent="0.45">
      <c r="B50" s="296" t="s">
        <v>262</v>
      </c>
      <c r="C50" s="223">
        <f>C13+C10-(C6*C7)</f>
        <v>7.2347540834289958E-2</v>
      </c>
    </row>
  </sheetData>
  <conditionalFormatting sqref="A1:XFD4 A5:B5 D5:XFD5 A6:XFD15 A49:XFD49 A16:A48 D16:XFD48 B19:C48 A51:XFD1048576 A50 D50:XFD50">
    <cfRule type="containsBlanks" dxfId="294" priority="5">
      <formula>LEN(TRIM(A1))=0</formula>
    </cfRule>
  </conditionalFormatting>
  <conditionalFormatting sqref="B16:C18">
    <cfRule type="containsBlanks" dxfId="293" priority="4">
      <formula>LEN(TRIM(B16))=0</formula>
    </cfRule>
  </conditionalFormatting>
  <conditionalFormatting sqref="C50">
    <cfRule type="containsBlanks" dxfId="292" priority="3">
      <formula>LEN(TRIM(C50))=0</formula>
    </cfRule>
  </conditionalFormatting>
  <conditionalFormatting sqref="B50">
    <cfRule type="containsBlanks" dxfId="291" priority="1">
      <formula>LEN(TRIM(B50))=0</formula>
    </cfRule>
  </conditionalFormatting>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7" tint="0.79998168889431442"/>
  </sheetPr>
  <dimension ref="B3:C50"/>
  <sheetViews>
    <sheetView zoomScale="74" zoomScaleNormal="74" workbookViewId="0">
      <selection activeCell="M29" sqref="M29"/>
    </sheetView>
  </sheetViews>
  <sheetFormatPr baseColWidth="10" defaultColWidth="9.1328125" defaultRowHeight="14.25" x14ac:dyDescent="0.45"/>
  <cols>
    <col min="2" max="2" width="45.3984375" bestFit="1" customWidth="1"/>
  </cols>
  <sheetData>
    <row r="3" spans="2:3" ht="15.75" x14ac:dyDescent="0.5">
      <c r="B3" s="112" t="s">
        <v>127</v>
      </c>
    </row>
    <row r="4" spans="2:3" ht="14.65" thickBot="1" x14ac:dyDescent="0.5"/>
    <row r="5" spans="2:3" x14ac:dyDescent="0.45">
      <c r="B5" s="2" t="s">
        <v>0</v>
      </c>
      <c r="C5" s="7"/>
    </row>
    <row r="6" spans="2:3" x14ac:dyDescent="0.45">
      <c r="B6" s="3" t="s">
        <v>67</v>
      </c>
      <c r="C6" s="101">
        <f>Input!C61</f>
        <v>1</v>
      </c>
    </row>
    <row r="7" spans="2:3" x14ac:dyDescent="0.45">
      <c r="B7" s="3" t="s">
        <v>68</v>
      </c>
      <c r="C7" s="101">
        <f>'Ableitung Optionspreise'!L27</f>
        <v>6.1273274075246036</v>
      </c>
    </row>
    <row r="8" spans="2:3" x14ac:dyDescent="0.45">
      <c r="B8" s="3" t="s">
        <v>69</v>
      </c>
      <c r="C8" s="101">
        <f>Input!C45</f>
        <v>72</v>
      </c>
    </row>
    <row r="9" spans="2:3" x14ac:dyDescent="0.45">
      <c r="B9" s="3" t="s">
        <v>100</v>
      </c>
      <c r="C9" s="101">
        <f>Input!C61</f>
        <v>1</v>
      </c>
    </row>
    <row r="10" spans="2:3" x14ac:dyDescent="0.45">
      <c r="B10" s="3" t="s">
        <v>101</v>
      </c>
      <c r="C10" s="101">
        <f>'Ableitung Optionspreise'!H27</f>
        <v>6.8648048002898712</v>
      </c>
    </row>
    <row r="11" spans="2:3" x14ac:dyDescent="0.45">
      <c r="B11" s="3" t="s">
        <v>102</v>
      </c>
      <c r="C11" s="101">
        <f>Input!C44</f>
        <v>70</v>
      </c>
    </row>
    <row r="12" spans="2:3" x14ac:dyDescent="0.45">
      <c r="B12" s="3" t="s">
        <v>36</v>
      </c>
      <c r="C12" s="101">
        <f>Input!C61</f>
        <v>1</v>
      </c>
    </row>
    <row r="13" spans="2:3" x14ac:dyDescent="0.45">
      <c r="B13" s="3" t="s">
        <v>37</v>
      </c>
      <c r="C13" s="101">
        <f>'Ableitung Optionspreise'!C27</f>
        <v>7.6746297338894109</v>
      </c>
    </row>
    <row r="14" spans="2:3" ht="14.65" thickBot="1" x14ac:dyDescent="0.5">
      <c r="B14" s="6" t="s">
        <v>38</v>
      </c>
      <c r="C14" s="111">
        <f>Input!C43</f>
        <v>68</v>
      </c>
    </row>
    <row r="15" spans="2:3" x14ac:dyDescent="0.45">
      <c r="B15" s="36"/>
      <c r="C15" s="36"/>
    </row>
    <row r="19" spans="2:3" x14ac:dyDescent="0.45">
      <c r="B19" s="54" t="s">
        <v>4</v>
      </c>
      <c r="C19" s="55" t="s">
        <v>19</v>
      </c>
    </row>
    <row r="20" spans="2:3" x14ac:dyDescent="0.45">
      <c r="B20" s="109">
        <f>Input!C5</f>
        <v>0</v>
      </c>
      <c r="C20" s="56">
        <f>SUM(IF(B20&gt;$C$8,B20-$C$8-$C$7,-$C$7)*$C$6,IF(B20&gt;$C$11,B20-$C$11-$C$10,-$C$10)*$C$9,IF(B20&gt;$C$14,$C$14-B20+$C$13,$C$13)*$C$12)</f>
        <v>-5.3175024739250638</v>
      </c>
    </row>
    <row r="21" spans="2:3" x14ac:dyDescent="0.45">
      <c r="B21" s="109">
        <f>Input!C6</f>
        <v>5</v>
      </c>
      <c r="C21" s="56">
        <f>SUM(IF(B21&gt;$C$8,B21-$C$8-$C$7,-$C$7)*$C$6,IF(B21&gt;$C$11,B21-$C$11-$C$10,-$C$10)*$C$9,IF(B21&gt;$C$14,$C$14-B21+$C$13,$C$13)*$C$12)</f>
        <v>-5.3175024739250638</v>
      </c>
    </row>
    <row r="22" spans="2:3" x14ac:dyDescent="0.45">
      <c r="B22" s="109">
        <f>Input!C7</f>
        <v>10</v>
      </c>
      <c r="C22" s="56">
        <f t="shared" ref="C22:C48" si="0">SUM(IF(B22&gt;$C$8,B22-$C$8-$C$7,-$C$7)*$C$6,IF(B22&gt;$C$11,B22-$C$11-$C$10,-$C$10)*$C$9,IF(B22&gt;$C$14,$C$14-B22+$C$13,$C$13)*$C$12)</f>
        <v>-5.3175024739250638</v>
      </c>
    </row>
    <row r="23" spans="2:3" x14ac:dyDescent="0.45">
      <c r="B23" s="109">
        <f>Input!C8</f>
        <v>15</v>
      </c>
      <c r="C23" s="56">
        <f t="shared" si="0"/>
        <v>-5.3175024739250638</v>
      </c>
    </row>
    <row r="24" spans="2:3" x14ac:dyDescent="0.45">
      <c r="B24" s="109">
        <f>Input!C9</f>
        <v>20</v>
      </c>
      <c r="C24" s="56">
        <f t="shared" si="0"/>
        <v>-5.3175024739250638</v>
      </c>
    </row>
    <row r="25" spans="2:3" x14ac:dyDescent="0.45">
      <c r="B25" s="109">
        <f>Input!C10</f>
        <v>25</v>
      </c>
      <c r="C25" s="56">
        <f t="shared" si="0"/>
        <v>-5.3175024739250638</v>
      </c>
    </row>
    <row r="26" spans="2:3" x14ac:dyDescent="0.45">
      <c r="B26" s="109">
        <f>Input!C11</f>
        <v>30</v>
      </c>
      <c r="C26" s="56">
        <f t="shared" si="0"/>
        <v>-5.3175024739250638</v>
      </c>
    </row>
    <row r="27" spans="2:3" x14ac:dyDescent="0.45">
      <c r="B27" s="109">
        <f>Input!C12</f>
        <v>35</v>
      </c>
      <c r="C27" s="56">
        <f t="shared" si="0"/>
        <v>-5.3175024739250638</v>
      </c>
    </row>
    <row r="28" spans="2:3" x14ac:dyDescent="0.45">
      <c r="B28" s="109">
        <f>Input!C13</f>
        <v>40</v>
      </c>
      <c r="C28" s="56">
        <f t="shared" si="0"/>
        <v>-5.3175024739250638</v>
      </c>
    </row>
    <row r="29" spans="2:3" x14ac:dyDescent="0.45">
      <c r="B29" s="109">
        <f>Input!C14</f>
        <v>45</v>
      </c>
      <c r="C29" s="56">
        <f t="shared" si="0"/>
        <v>-5.3175024739250638</v>
      </c>
    </row>
    <row r="30" spans="2:3" x14ac:dyDescent="0.45">
      <c r="B30" s="109">
        <f>Input!C15</f>
        <v>50</v>
      </c>
      <c r="C30" s="56">
        <f t="shared" si="0"/>
        <v>-5.3175024739250638</v>
      </c>
    </row>
    <row r="31" spans="2:3" x14ac:dyDescent="0.45">
      <c r="B31" s="109">
        <f>Input!C16</f>
        <v>55</v>
      </c>
      <c r="C31" s="56">
        <f t="shared" si="0"/>
        <v>-5.3175024739250638</v>
      </c>
    </row>
    <row r="32" spans="2:3" x14ac:dyDescent="0.45">
      <c r="B32" s="109">
        <f>Input!C17</f>
        <v>60</v>
      </c>
      <c r="C32" s="56">
        <f t="shared" si="0"/>
        <v>-5.3175024739250638</v>
      </c>
    </row>
    <row r="33" spans="2:3" x14ac:dyDescent="0.45">
      <c r="B33" s="109">
        <f>Input!C18</f>
        <v>65</v>
      </c>
      <c r="C33" s="56">
        <f t="shared" si="0"/>
        <v>-5.3175024739250638</v>
      </c>
    </row>
    <row r="34" spans="2:3" x14ac:dyDescent="0.45">
      <c r="B34" s="109">
        <f>Input!C19</f>
        <v>70</v>
      </c>
      <c r="C34" s="56">
        <f t="shared" si="0"/>
        <v>-7.3175024739250638</v>
      </c>
    </row>
    <row r="35" spans="2:3" x14ac:dyDescent="0.45">
      <c r="B35" s="109">
        <f>Input!C20</f>
        <v>75</v>
      </c>
      <c r="C35" s="56">
        <f t="shared" si="0"/>
        <v>-4.3175024739250638</v>
      </c>
    </row>
    <row r="36" spans="2:3" x14ac:dyDescent="0.45">
      <c r="B36" s="109">
        <f>Input!C21</f>
        <v>80</v>
      </c>
      <c r="C36" s="56">
        <f t="shared" si="0"/>
        <v>0.68249752607493619</v>
      </c>
    </row>
    <row r="37" spans="2:3" x14ac:dyDescent="0.45">
      <c r="B37" s="109">
        <f>Input!C22</f>
        <v>85</v>
      </c>
      <c r="C37" s="56">
        <f t="shared" si="0"/>
        <v>5.6824975260749362</v>
      </c>
    </row>
    <row r="38" spans="2:3" x14ac:dyDescent="0.45">
      <c r="B38" s="109">
        <f>Input!C23</f>
        <v>90</v>
      </c>
      <c r="C38" s="56">
        <f t="shared" si="0"/>
        <v>10.682497526074936</v>
      </c>
    </row>
    <row r="39" spans="2:3" x14ac:dyDescent="0.45">
      <c r="B39" s="109">
        <f>Input!C24</f>
        <v>95</v>
      </c>
      <c r="C39" s="56">
        <f t="shared" si="0"/>
        <v>15.682497526074933</v>
      </c>
    </row>
    <row r="40" spans="2:3" x14ac:dyDescent="0.45">
      <c r="B40" s="109">
        <f>Input!C25</f>
        <v>100</v>
      </c>
      <c r="C40" s="56">
        <f t="shared" si="0"/>
        <v>20.682497526074933</v>
      </c>
    </row>
    <row r="41" spans="2:3" x14ac:dyDescent="0.45">
      <c r="B41" s="109">
        <f>Input!C26</f>
        <v>105</v>
      </c>
      <c r="C41" s="56">
        <f t="shared" si="0"/>
        <v>25.682497526074933</v>
      </c>
    </row>
    <row r="42" spans="2:3" x14ac:dyDescent="0.45">
      <c r="B42" s="109">
        <f>Input!C27</f>
        <v>110</v>
      </c>
      <c r="C42" s="56">
        <f t="shared" si="0"/>
        <v>30.682497526074933</v>
      </c>
    </row>
    <row r="43" spans="2:3" x14ac:dyDescent="0.45">
      <c r="B43" s="109">
        <f>Input!C28</f>
        <v>115</v>
      </c>
      <c r="C43" s="56">
        <f t="shared" si="0"/>
        <v>35.682497526074933</v>
      </c>
    </row>
    <row r="44" spans="2:3" x14ac:dyDescent="0.45">
      <c r="B44" s="109">
        <f>Input!C29</f>
        <v>120</v>
      </c>
      <c r="C44" s="56">
        <f t="shared" si="0"/>
        <v>40.682497526074933</v>
      </c>
    </row>
    <row r="45" spans="2:3" x14ac:dyDescent="0.45">
      <c r="B45" s="109">
        <f>Input!C30</f>
        <v>125</v>
      </c>
      <c r="C45" s="56">
        <f t="shared" si="0"/>
        <v>45.682497526074933</v>
      </c>
    </row>
    <row r="46" spans="2:3" x14ac:dyDescent="0.45">
      <c r="B46" s="109">
        <f>Input!C31</f>
        <v>130</v>
      </c>
      <c r="C46" s="56">
        <f t="shared" si="0"/>
        <v>50.682497526074933</v>
      </c>
    </row>
    <row r="47" spans="2:3" x14ac:dyDescent="0.45">
      <c r="B47" s="109">
        <f>Input!C32</f>
        <v>135</v>
      </c>
      <c r="C47" s="56">
        <f t="shared" si="0"/>
        <v>55.682497526074933</v>
      </c>
    </row>
    <row r="48" spans="2:3" x14ac:dyDescent="0.45">
      <c r="B48" s="110">
        <f>Input!C33</f>
        <v>140</v>
      </c>
      <c r="C48" s="57">
        <f t="shared" si="0"/>
        <v>60.68249752607494</v>
      </c>
    </row>
    <row r="50" spans="2:3" x14ac:dyDescent="0.45">
      <c r="B50" s="296" t="s">
        <v>262</v>
      </c>
      <c r="C50" s="297">
        <f>C13-C10-C7</f>
        <v>-5.3175024739250638</v>
      </c>
    </row>
  </sheetData>
  <conditionalFormatting sqref="A1:XFD4 A5:B5 D5:XFD5 A6:XFD15 A49:XFD49 A16:A48 D16:XFD48 B19:C48 A51:XFD1048576 A50 D50:XFD50">
    <cfRule type="containsBlanks" dxfId="290" priority="6">
      <formula>LEN(TRIM(A1))=0</formula>
    </cfRule>
  </conditionalFormatting>
  <conditionalFormatting sqref="B16:C18">
    <cfRule type="containsBlanks" dxfId="289" priority="5">
      <formula>LEN(TRIM(B16))=0</formula>
    </cfRule>
  </conditionalFormatting>
  <conditionalFormatting sqref="B50">
    <cfRule type="containsBlanks" dxfId="288" priority="2">
      <formula>LEN(TRIM(B50))=0</formula>
    </cfRule>
  </conditionalFormatting>
  <conditionalFormatting sqref="C50">
    <cfRule type="containsBlanks" dxfId="287" priority="1">
      <formula>LEN(TRIM(C50))=0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FE915-81BA-4863-BA32-7D158725245D}">
  <sheetPr>
    <tabColor theme="0" tint="-0.14999847407452621"/>
  </sheetPr>
  <dimension ref="B2:D50"/>
  <sheetViews>
    <sheetView tabSelected="1" zoomScale="76" zoomScaleNormal="76" workbookViewId="0">
      <selection activeCell="W42" sqref="W42"/>
    </sheetView>
  </sheetViews>
  <sheetFormatPr baseColWidth="10" defaultColWidth="9.1328125" defaultRowHeight="14.25" x14ac:dyDescent="0.45"/>
  <cols>
    <col min="1" max="1" width="5.06640625" customWidth="1"/>
    <col min="2" max="2" width="37.59765625" bestFit="1" customWidth="1"/>
    <col min="3" max="3" width="13.1328125" customWidth="1"/>
    <col min="4" max="4" width="13.73046875" customWidth="1"/>
  </cols>
  <sheetData>
    <row r="2" spans="2:4" ht="15.75" x14ac:dyDescent="0.5">
      <c r="B2" s="112" t="s">
        <v>190</v>
      </c>
    </row>
    <row r="3" spans="2:4" ht="15.75" thickBot="1" x14ac:dyDescent="0.5">
      <c r="B3" s="1"/>
    </row>
    <row r="4" spans="2:4" ht="14.65" thickBot="1" x14ac:dyDescent="0.5">
      <c r="B4" s="11" t="s">
        <v>0</v>
      </c>
      <c r="C4" s="7"/>
    </row>
    <row r="5" spans="2:4" x14ac:dyDescent="0.45">
      <c r="B5" s="3" t="s">
        <v>2</v>
      </c>
      <c r="C5" s="298">
        <f>'Ableitung Optionspreise'!C27</f>
        <v>7.6746297338894109</v>
      </c>
      <c r="D5" s="5"/>
    </row>
    <row r="6" spans="2:4" ht="14.65" thickBot="1" x14ac:dyDescent="0.5">
      <c r="B6" s="4" t="s">
        <v>3</v>
      </c>
      <c r="C6" s="299">
        <f>Input!C43</f>
        <v>68</v>
      </c>
      <c r="D6" s="5"/>
    </row>
    <row r="18" spans="2:4" ht="14.65" thickBot="1" x14ac:dyDescent="0.5"/>
    <row r="19" spans="2:4" ht="39.75" thickBot="1" x14ac:dyDescent="0.5">
      <c r="B19" s="300" t="s">
        <v>188</v>
      </c>
      <c r="C19" s="301" t="s">
        <v>6</v>
      </c>
      <c r="D19" s="302" t="s">
        <v>5</v>
      </c>
    </row>
    <row r="20" spans="2:4" x14ac:dyDescent="0.45">
      <c r="B20" s="303">
        <f>Input!C5</f>
        <v>0</v>
      </c>
      <c r="C20" s="53">
        <f t="shared" ref="C20:C48" si="0">IF(B20&gt;$C$6,B20-$C$6-$C$5,-$C$5)</f>
        <v>-7.6746297338894109</v>
      </c>
      <c r="D20" s="304" t="str">
        <f>IF(B20&gt;$C$6,"ja","nein")</f>
        <v>nein</v>
      </c>
    </row>
    <row r="21" spans="2:4" x14ac:dyDescent="0.45">
      <c r="B21" s="303">
        <f>Input!C6</f>
        <v>5</v>
      </c>
      <c r="C21" s="53">
        <f t="shared" si="0"/>
        <v>-7.6746297338894109</v>
      </c>
      <c r="D21" s="304" t="str">
        <f t="shared" ref="D21:D48" si="1">IF(B21&gt;$C$6,"ja","nein")</f>
        <v>nein</v>
      </c>
    </row>
    <row r="22" spans="2:4" x14ac:dyDescent="0.45">
      <c r="B22" s="303">
        <f>Input!C7</f>
        <v>10</v>
      </c>
      <c r="C22" s="53">
        <f t="shared" si="0"/>
        <v>-7.6746297338894109</v>
      </c>
      <c r="D22" s="304" t="str">
        <f t="shared" si="1"/>
        <v>nein</v>
      </c>
    </row>
    <row r="23" spans="2:4" x14ac:dyDescent="0.45">
      <c r="B23" s="303">
        <f>Input!C8</f>
        <v>15</v>
      </c>
      <c r="C23" s="53">
        <f t="shared" si="0"/>
        <v>-7.6746297338894109</v>
      </c>
      <c r="D23" s="304" t="str">
        <f t="shared" si="1"/>
        <v>nein</v>
      </c>
    </row>
    <row r="24" spans="2:4" x14ac:dyDescent="0.45">
      <c r="B24" s="303">
        <f>Input!C9</f>
        <v>20</v>
      </c>
      <c r="C24" s="53">
        <f t="shared" si="0"/>
        <v>-7.6746297338894109</v>
      </c>
      <c r="D24" s="304" t="str">
        <f t="shared" si="1"/>
        <v>nein</v>
      </c>
    </row>
    <row r="25" spans="2:4" x14ac:dyDescent="0.45">
      <c r="B25" s="303">
        <f>Input!C10</f>
        <v>25</v>
      </c>
      <c r="C25" s="53">
        <f t="shared" si="0"/>
        <v>-7.6746297338894109</v>
      </c>
      <c r="D25" s="304" t="str">
        <f t="shared" si="1"/>
        <v>nein</v>
      </c>
    </row>
    <row r="26" spans="2:4" x14ac:dyDescent="0.45">
      <c r="B26" s="303">
        <f>Input!C11</f>
        <v>30</v>
      </c>
      <c r="C26" s="53">
        <f t="shared" si="0"/>
        <v>-7.6746297338894109</v>
      </c>
      <c r="D26" s="304" t="str">
        <f t="shared" si="1"/>
        <v>nein</v>
      </c>
    </row>
    <row r="27" spans="2:4" x14ac:dyDescent="0.45">
      <c r="B27" s="303">
        <f>Input!C12</f>
        <v>35</v>
      </c>
      <c r="C27" s="53">
        <f t="shared" si="0"/>
        <v>-7.6746297338894109</v>
      </c>
      <c r="D27" s="304" t="str">
        <f t="shared" si="1"/>
        <v>nein</v>
      </c>
    </row>
    <row r="28" spans="2:4" x14ac:dyDescent="0.45">
      <c r="B28" s="303">
        <f>Input!C13</f>
        <v>40</v>
      </c>
      <c r="C28" s="53">
        <f t="shared" si="0"/>
        <v>-7.6746297338894109</v>
      </c>
      <c r="D28" s="304" t="str">
        <f t="shared" si="1"/>
        <v>nein</v>
      </c>
    </row>
    <row r="29" spans="2:4" x14ac:dyDescent="0.45">
      <c r="B29" s="303">
        <f>Input!C14</f>
        <v>45</v>
      </c>
      <c r="C29" s="53">
        <f t="shared" si="0"/>
        <v>-7.6746297338894109</v>
      </c>
      <c r="D29" s="304" t="str">
        <f t="shared" si="1"/>
        <v>nein</v>
      </c>
    </row>
    <row r="30" spans="2:4" x14ac:dyDescent="0.45">
      <c r="B30" s="303">
        <f>Input!C15</f>
        <v>50</v>
      </c>
      <c r="C30" s="53">
        <f t="shared" si="0"/>
        <v>-7.6746297338894109</v>
      </c>
      <c r="D30" s="304" t="str">
        <f t="shared" si="1"/>
        <v>nein</v>
      </c>
    </row>
    <row r="31" spans="2:4" x14ac:dyDescent="0.45">
      <c r="B31" s="303">
        <f>Input!C16</f>
        <v>55</v>
      </c>
      <c r="C31" s="53">
        <f t="shared" si="0"/>
        <v>-7.6746297338894109</v>
      </c>
      <c r="D31" s="304" t="str">
        <f t="shared" si="1"/>
        <v>nein</v>
      </c>
    </row>
    <row r="32" spans="2:4" x14ac:dyDescent="0.45">
      <c r="B32" s="303">
        <f>Input!C17</f>
        <v>60</v>
      </c>
      <c r="C32" s="53">
        <f t="shared" si="0"/>
        <v>-7.6746297338894109</v>
      </c>
      <c r="D32" s="304" t="str">
        <f t="shared" si="1"/>
        <v>nein</v>
      </c>
    </row>
    <row r="33" spans="2:4" x14ac:dyDescent="0.45">
      <c r="B33" s="303">
        <f>Input!C18</f>
        <v>65</v>
      </c>
      <c r="C33" s="53">
        <f t="shared" si="0"/>
        <v>-7.6746297338894109</v>
      </c>
      <c r="D33" s="304" t="str">
        <f t="shared" si="1"/>
        <v>nein</v>
      </c>
    </row>
    <row r="34" spans="2:4" x14ac:dyDescent="0.45">
      <c r="B34" s="303">
        <f>Input!C19</f>
        <v>70</v>
      </c>
      <c r="C34" s="53">
        <f t="shared" si="0"/>
        <v>-5.6746297338894109</v>
      </c>
      <c r="D34" s="304" t="str">
        <f t="shared" si="1"/>
        <v>ja</v>
      </c>
    </row>
    <row r="35" spans="2:4" x14ac:dyDescent="0.45">
      <c r="B35" s="303">
        <f>Input!C20</f>
        <v>75</v>
      </c>
      <c r="C35" s="53">
        <f t="shared" si="0"/>
        <v>-0.67462973388941094</v>
      </c>
      <c r="D35" s="304" t="str">
        <f t="shared" si="1"/>
        <v>ja</v>
      </c>
    </row>
    <row r="36" spans="2:4" x14ac:dyDescent="0.45">
      <c r="B36" s="303">
        <f>Input!C21</f>
        <v>80</v>
      </c>
      <c r="C36" s="53">
        <f t="shared" si="0"/>
        <v>4.3253702661105891</v>
      </c>
      <c r="D36" s="304" t="str">
        <f t="shared" si="1"/>
        <v>ja</v>
      </c>
    </row>
    <row r="37" spans="2:4" x14ac:dyDescent="0.45">
      <c r="B37" s="303">
        <f>Input!C22</f>
        <v>85</v>
      </c>
      <c r="C37" s="53">
        <f t="shared" si="0"/>
        <v>9.3253702661105891</v>
      </c>
      <c r="D37" s="304" t="str">
        <f t="shared" si="1"/>
        <v>ja</v>
      </c>
    </row>
    <row r="38" spans="2:4" x14ac:dyDescent="0.45">
      <c r="B38" s="303">
        <f>Input!C23</f>
        <v>90</v>
      </c>
      <c r="C38" s="53">
        <f t="shared" si="0"/>
        <v>14.325370266110589</v>
      </c>
      <c r="D38" s="304" t="str">
        <f t="shared" si="1"/>
        <v>ja</v>
      </c>
    </row>
    <row r="39" spans="2:4" x14ac:dyDescent="0.45">
      <c r="B39" s="303">
        <f>Input!C24</f>
        <v>95</v>
      </c>
      <c r="C39" s="53">
        <f t="shared" si="0"/>
        <v>19.325370266110589</v>
      </c>
      <c r="D39" s="304" t="str">
        <f t="shared" si="1"/>
        <v>ja</v>
      </c>
    </row>
    <row r="40" spans="2:4" x14ac:dyDescent="0.45">
      <c r="B40" s="303">
        <f>Input!C25</f>
        <v>100</v>
      </c>
      <c r="C40" s="53">
        <f t="shared" si="0"/>
        <v>24.325370266110589</v>
      </c>
      <c r="D40" s="304" t="str">
        <f t="shared" si="1"/>
        <v>ja</v>
      </c>
    </row>
    <row r="41" spans="2:4" x14ac:dyDescent="0.45">
      <c r="B41" s="303">
        <f>Input!C26</f>
        <v>105</v>
      </c>
      <c r="C41" s="53">
        <f t="shared" si="0"/>
        <v>29.325370266110589</v>
      </c>
      <c r="D41" s="304" t="str">
        <f t="shared" si="1"/>
        <v>ja</v>
      </c>
    </row>
    <row r="42" spans="2:4" x14ac:dyDescent="0.45">
      <c r="B42" s="303">
        <f>Input!C27</f>
        <v>110</v>
      </c>
      <c r="C42" s="53">
        <f t="shared" si="0"/>
        <v>34.325370266110589</v>
      </c>
      <c r="D42" s="304" t="str">
        <f t="shared" si="1"/>
        <v>ja</v>
      </c>
    </row>
    <row r="43" spans="2:4" x14ac:dyDescent="0.45">
      <c r="B43" s="303">
        <f>Input!C28</f>
        <v>115</v>
      </c>
      <c r="C43" s="53">
        <f t="shared" si="0"/>
        <v>39.325370266110589</v>
      </c>
      <c r="D43" s="304" t="str">
        <f t="shared" si="1"/>
        <v>ja</v>
      </c>
    </row>
    <row r="44" spans="2:4" x14ac:dyDescent="0.45">
      <c r="B44" s="303">
        <f>Input!C29</f>
        <v>120</v>
      </c>
      <c r="C44" s="53">
        <f t="shared" si="0"/>
        <v>44.325370266110589</v>
      </c>
      <c r="D44" s="304" t="str">
        <f t="shared" si="1"/>
        <v>ja</v>
      </c>
    </row>
    <row r="45" spans="2:4" x14ac:dyDescent="0.45">
      <c r="B45" s="303">
        <f>Input!C30</f>
        <v>125</v>
      </c>
      <c r="C45" s="53">
        <f t="shared" si="0"/>
        <v>49.325370266110589</v>
      </c>
      <c r="D45" s="304" t="str">
        <f t="shared" si="1"/>
        <v>ja</v>
      </c>
    </row>
    <row r="46" spans="2:4" x14ac:dyDescent="0.45">
      <c r="B46" s="303">
        <f>Input!C31</f>
        <v>130</v>
      </c>
      <c r="C46" s="53">
        <f t="shared" si="0"/>
        <v>54.325370266110589</v>
      </c>
      <c r="D46" s="304" t="str">
        <f t="shared" si="1"/>
        <v>ja</v>
      </c>
    </row>
    <row r="47" spans="2:4" x14ac:dyDescent="0.45">
      <c r="B47" s="303">
        <f>Input!C32</f>
        <v>135</v>
      </c>
      <c r="C47" s="53">
        <f t="shared" si="0"/>
        <v>59.325370266110589</v>
      </c>
      <c r="D47" s="304" t="str">
        <f t="shared" si="1"/>
        <v>ja</v>
      </c>
    </row>
    <row r="48" spans="2:4" ht="14.65" thickBot="1" x14ac:dyDescent="0.5">
      <c r="B48" s="305">
        <f>Input!C33</f>
        <v>140</v>
      </c>
      <c r="C48" s="306">
        <f t="shared" si="0"/>
        <v>64.325370266110582</v>
      </c>
      <c r="D48" s="307" t="str">
        <f t="shared" si="1"/>
        <v>ja</v>
      </c>
    </row>
    <row r="50" spans="2:3" x14ac:dyDescent="0.45">
      <c r="B50" s="296" t="s">
        <v>262</v>
      </c>
      <c r="C50" s="297">
        <f>-C5</f>
        <v>-7.6746297338894109</v>
      </c>
    </row>
  </sheetData>
  <conditionalFormatting sqref="A1:XFD1 A49:XFD49 E7:XFD7 F8:XFD37 C19:D19 A4:A37 B20:B48 D4:XFD6 A3:XFD3 A2 C2:XFD2 A51:XFD1048576 A50 D50:XFD50 A38:B48 D38:XFD48 D20:D48">
    <cfRule type="containsBlanks" dxfId="527" priority="14">
      <formula>LEN(TRIM(A1))=0</formula>
    </cfRule>
  </conditionalFormatting>
  <conditionalFormatting sqref="B4">
    <cfRule type="containsBlanks" dxfId="526" priority="13">
      <formula>LEN(TRIM(B4))=0</formula>
    </cfRule>
  </conditionalFormatting>
  <conditionalFormatting sqref="B19">
    <cfRule type="containsBlanks" dxfId="525" priority="10">
      <formula>LEN(TRIM(B19))=0</formula>
    </cfRule>
  </conditionalFormatting>
  <conditionalFormatting sqref="B5:B6">
    <cfRule type="containsBlanks" dxfId="524" priority="9">
      <formula>LEN(TRIM(B5))=0</formula>
    </cfRule>
  </conditionalFormatting>
  <conditionalFormatting sqref="B7:D7">
    <cfRule type="containsBlanks" dxfId="523" priority="8">
      <formula>LEN(TRIM(B7))=0</formula>
    </cfRule>
  </conditionalFormatting>
  <conditionalFormatting sqref="E9:E37">
    <cfRule type="containsBlanks" dxfId="522" priority="7">
      <formula>LEN(TRIM(E9))=0</formula>
    </cfRule>
  </conditionalFormatting>
  <conditionalFormatting sqref="B8:D18">
    <cfRule type="containsBlanks" dxfId="521" priority="6">
      <formula>LEN(TRIM(B8))=0</formula>
    </cfRule>
  </conditionalFormatting>
  <conditionalFormatting sqref="B2">
    <cfRule type="containsBlanks" dxfId="520" priority="5">
      <formula>LEN(TRIM(B2))=0</formula>
    </cfRule>
  </conditionalFormatting>
  <conditionalFormatting sqref="B50">
    <cfRule type="containsBlanks" dxfId="519" priority="4">
      <formula>LEN(TRIM(B50))=0</formula>
    </cfRule>
  </conditionalFormatting>
  <conditionalFormatting sqref="C20:C48">
    <cfRule type="containsBlanks" dxfId="518" priority="3">
      <formula>LEN(TRIM(C20))=0</formula>
    </cfRule>
  </conditionalFormatting>
  <conditionalFormatting sqref="C50">
    <cfRule type="containsBlanks" dxfId="517" priority="2">
      <formula>LEN(TRIM(C50))=0</formula>
    </cfRule>
  </conditionalFormatting>
  <conditionalFormatting sqref="C5:C6">
    <cfRule type="containsBlanks" dxfId="516" priority="1">
      <formula>LEN(TRIM(C5))=0</formula>
    </cfRule>
  </conditionalFormatting>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7" tint="0.79998168889431442"/>
  </sheetPr>
  <dimension ref="B3:C50"/>
  <sheetViews>
    <sheetView zoomScale="69" zoomScaleNormal="69" workbookViewId="0">
      <selection activeCell="O43" sqref="O43"/>
    </sheetView>
  </sheetViews>
  <sheetFormatPr baseColWidth="10" defaultColWidth="9.1328125" defaultRowHeight="14.25" x14ac:dyDescent="0.45"/>
  <cols>
    <col min="2" max="2" width="37.265625" customWidth="1"/>
    <col min="3" max="3" width="15.265625" customWidth="1"/>
  </cols>
  <sheetData>
    <row r="3" spans="2:3" ht="15.75" x14ac:dyDescent="0.5">
      <c r="B3" s="112" t="s">
        <v>128</v>
      </c>
    </row>
    <row r="4" spans="2:3" ht="14.65" thickBot="1" x14ac:dyDescent="0.5"/>
    <row r="5" spans="2:3" x14ac:dyDescent="0.45">
      <c r="B5" s="2" t="s">
        <v>0</v>
      </c>
      <c r="C5" s="7"/>
    </row>
    <row r="6" spans="2:3" x14ac:dyDescent="0.45">
      <c r="B6" s="3" t="s">
        <v>73</v>
      </c>
      <c r="C6" s="101">
        <f>Input!C63</f>
        <v>1</v>
      </c>
    </row>
    <row r="7" spans="2:3" x14ac:dyDescent="0.45">
      <c r="B7" s="3" t="s">
        <v>74</v>
      </c>
      <c r="C7" s="101">
        <f>'Ableitung Optionspreise'!D27</f>
        <v>8.3120046774244081</v>
      </c>
    </row>
    <row r="8" spans="2:3" x14ac:dyDescent="0.45">
      <c r="B8" s="3" t="s">
        <v>75</v>
      </c>
      <c r="C8" s="101">
        <f>Input!C43</f>
        <v>68</v>
      </c>
    </row>
    <row r="9" spans="2:3" x14ac:dyDescent="0.45">
      <c r="B9" s="3" t="s">
        <v>103</v>
      </c>
      <c r="C9" s="101">
        <f>Input!C63</f>
        <v>1</v>
      </c>
    </row>
    <row r="10" spans="2:3" x14ac:dyDescent="0.45">
      <c r="B10" s="3" t="s">
        <v>104</v>
      </c>
      <c r="C10" s="101">
        <f>'Ableitung Optionspreise'!I27</f>
        <v>9.4822794113231978</v>
      </c>
    </row>
    <row r="11" spans="2:3" x14ac:dyDescent="0.45">
      <c r="B11" s="3" t="s">
        <v>105</v>
      </c>
      <c r="C11" s="101">
        <f>Input!C44</f>
        <v>70</v>
      </c>
    </row>
    <row r="12" spans="2:3" x14ac:dyDescent="0.45">
      <c r="B12" s="3" t="s">
        <v>44</v>
      </c>
      <c r="C12" s="101">
        <f>Input!C63</f>
        <v>1</v>
      </c>
    </row>
    <row r="13" spans="2:3" x14ac:dyDescent="0.45">
      <c r="B13" s="3" t="s">
        <v>43</v>
      </c>
      <c r="C13" s="101">
        <f>'Ableitung Optionspreise'!M27</f>
        <v>10.724901686056278</v>
      </c>
    </row>
    <row r="14" spans="2:3" ht="14.65" thickBot="1" x14ac:dyDescent="0.5">
      <c r="B14" s="6" t="s">
        <v>42</v>
      </c>
      <c r="C14" s="111">
        <f>Input!C45</f>
        <v>72</v>
      </c>
    </row>
    <row r="19" spans="2:3" x14ac:dyDescent="0.45">
      <c r="B19" s="54" t="s">
        <v>4</v>
      </c>
      <c r="C19" s="55" t="s">
        <v>19</v>
      </c>
    </row>
    <row r="20" spans="2:3" x14ac:dyDescent="0.45">
      <c r="B20" s="109">
        <f>Input!C5</f>
        <v>0</v>
      </c>
      <c r="C20" s="56">
        <f>SUM(IF(B20&lt;$C$8,$C$8-B20-$C$7,-$C$7)*$C$6,IF(B20&lt;$C$11,$C$11-B20-$C$10,-$C$10)*$C$9,IF(B20&lt;$C$14,B20-$C$14+$C$13,$C$13)*$C$12)</f>
        <v>58.930617597308661</v>
      </c>
    </row>
    <row r="21" spans="2:3" x14ac:dyDescent="0.45">
      <c r="B21" s="109">
        <f>Input!C6</f>
        <v>5</v>
      </c>
      <c r="C21" s="56">
        <f t="shared" ref="C21:C48" si="0">SUM(IF(B21&lt;$C$8,$C$8-B21-$C$7,-$C$7)*$C$6,IF(B21&lt;$C$11,$C$11-B21-$C$10,-$C$10)*$C$9,IF(B21&lt;$C$14,B21-$C$14+$C$13,$C$13)*$C$12)</f>
        <v>53.930617597308661</v>
      </c>
    </row>
    <row r="22" spans="2:3" x14ac:dyDescent="0.45">
      <c r="B22" s="109">
        <f>Input!C7</f>
        <v>10</v>
      </c>
      <c r="C22" s="56">
        <f t="shared" si="0"/>
        <v>48.930617597308661</v>
      </c>
    </row>
    <row r="23" spans="2:3" x14ac:dyDescent="0.45">
      <c r="B23" s="109">
        <f>Input!C8</f>
        <v>15</v>
      </c>
      <c r="C23" s="56">
        <f t="shared" si="0"/>
        <v>43.930617597308661</v>
      </c>
    </row>
    <row r="24" spans="2:3" x14ac:dyDescent="0.45">
      <c r="B24" s="109">
        <f>Input!C9</f>
        <v>20</v>
      </c>
      <c r="C24" s="56">
        <f t="shared" si="0"/>
        <v>38.930617597308661</v>
      </c>
    </row>
    <row r="25" spans="2:3" x14ac:dyDescent="0.45">
      <c r="B25" s="109">
        <f>Input!C10</f>
        <v>25</v>
      </c>
      <c r="C25" s="56">
        <f t="shared" si="0"/>
        <v>33.930617597308661</v>
      </c>
    </row>
    <row r="26" spans="2:3" x14ac:dyDescent="0.45">
      <c r="B26" s="109">
        <f>Input!C11</f>
        <v>30</v>
      </c>
      <c r="C26" s="56">
        <f t="shared" si="0"/>
        <v>28.930617597308675</v>
      </c>
    </row>
    <row r="27" spans="2:3" x14ac:dyDescent="0.45">
      <c r="B27" s="109">
        <f>Input!C12</f>
        <v>35</v>
      </c>
      <c r="C27" s="56">
        <f t="shared" si="0"/>
        <v>23.930617597308675</v>
      </c>
    </row>
    <row r="28" spans="2:3" x14ac:dyDescent="0.45">
      <c r="B28" s="109">
        <f>Input!C13</f>
        <v>40</v>
      </c>
      <c r="C28" s="56">
        <f t="shared" si="0"/>
        <v>18.930617597308675</v>
      </c>
    </row>
    <row r="29" spans="2:3" x14ac:dyDescent="0.45">
      <c r="B29" s="109">
        <f>Input!C14</f>
        <v>45</v>
      </c>
      <c r="C29" s="56">
        <f t="shared" si="0"/>
        <v>13.930617597308672</v>
      </c>
    </row>
    <row r="30" spans="2:3" x14ac:dyDescent="0.45">
      <c r="B30" s="109">
        <f>Input!C15</f>
        <v>50</v>
      </c>
      <c r="C30" s="56">
        <f t="shared" si="0"/>
        <v>8.9306175973086717</v>
      </c>
    </row>
    <row r="31" spans="2:3" x14ac:dyDescent="0.45">
      <c r="B31" s="109">
        <f>Input!C16</f>
        <v>55</v>
      </c>
      <c r="C31" s="56">
        <f t="shared" si="0"/>
        <v>3.9306175973086717</v>
      </c>
    </row>
    <row r="32" spans="2:3" x14ac:dyDescent="0.45">
      <c r="B32" s="109">
        <f>Input!C17</f>
        <v>60</v>
      </c>
      <c r="C32" s="56">
        <f t="shared" si="0"/>
        <v>-1.0693824026913283</v>
      </c>
    </row>
    <row r="33" spans="2:3" x14ac:dyDescent="0.45">
      <c r="B33" s="109">
        <f>Input!C18</f>
        <v>65</v>
      </c>
      <c r="C33" s="56">
        <f t="shared" si="0"/>
        <v>-6.0693824026913283</v>
      </c>
    </row>
    <row r="34" spans="2:3" x14ac:dyDescent="0.45">
      <c r="B34" s="109">
        <f>Input!C19</f>
        <v>70</v>
      </c>
      <c r="C34" s="56">
        <f t="shared" si="0"/>
        <v>-9.0693824026913283</v>
      </c>
    </row>
    <row r="35" spans="2:3" x14ac:dyDescent="0.45">
      <c r="B35" s="109">
        <f>Input!C20</f>
        <v>75</v>
      </c>
      <c r="C35" s="56">
        <f t="shared" si="0"/>
        <v>-7.0693824026913283</v>
      </c>
    </row>
    <row r="36" spans="2:3" x14ac:dyDescent="0.45">
      <c r="B36" s="109">
        <f>Input!C21</f>
        <v>80</v>
      </c>
      <c r="C36" s="56">
        <f t="shared" si="0"/>
        <v>-7.0693824026913283</v>
      </c>
    </row>
    <row r="37" spans="2:3" x14ac:dyDescent="0.45">
      <c r="B37" s="109">
        <f>Input!C22</f>
        <v>85</v>
      </c>
      <c r="C37" s="56">
        <f t="shared" si="0"/>
        <v>-7.0693824026913283</v>
      </c>
    </row>
    <row r="38" spans="2:3" x14ac:dyDescent="0.45">
      <c r="B38" s="109">
        <f>Input!C23</f>
        <v>90</v>
      </c>
      <c r="C38" s="56">
        <f t="shared" si="0"/>
        <v>-7.0693824026913283</v>
      </c>
    </row>
    <row r="39" spans="2:3" x14ac:dyDescent="0.45">
      <c r="B39" s="109">
        <f>Input!C24</f>
        <v>95</v>
      </c>
      <c r="C39" s="56">
        <f t="shared" si="0"/>
        <v>-7.0693824026913283</v>
      </c>
    </row>
    <row r="40" spans="2:3" x14ac:dyDescent="0.45">
      <c r="B40" s="109">
        <f>Input!C25</f>
        <v>100</v>
      </c>
      <c r="C40" s="56">
        <f t="shared" si="0"/>
        <v>-7.0693824026913283</v>
      </c>
    </row>
    <row r="41" spans="2:3" x14ac:dyDescent="0.45">
      <c r="B41" s="109">
        <f>Input!C26</f>
        <v>105</v>
      </c>
      <c r="C41" s="56">
        <f t="shared" si="0"/>
        <v>-7.0693824026913283</v>
      </c>
    </row>
    <row r="42" spans="2:3" x14ac:dyDescent="0.45">
      <c r="B42" s="109">
        <f>Input!C27</f>
        <v>110</v>
      </c>
      <c r="C42" s="56">
        <f t="shared" si="0"/>
        <v>-7.0693824026913283</v>
      </c>
    </row>
    <row r="43" spans="2:3" x14ac:dyDescent="0.45">
      <c r="B43" s="109">
        <f>Input!C28</f>
        <v>115</v>
      </c>
      <c r="C43" s="56">
        <f t="shared" si="0"/>
        <v>-7.0693824026913283</v>
      </c>
    </row>
    <row r="44" spans="2:3" x14ac:dyDescent="0.45">
      <c r="B44" s="109">
        <f>Input!C29</f>
        <v>120</v>
      </c>
      <c r="C44" s="56">
        <f t="shared" si="0"/>
        <v>-7.0693824026913283</v>
      </c>
    </row>
    <row r="45" spans="2:3" x14ac:dyDescent="0.45">
      <c r="B45" s="109">
        <f>Input!C30</f>
        <v>125</v>
      </c>
      <c r="C45" s="56">
        <f t="shared" si="0"/>
        <v>-7.0693824026913283</v>
      </c>
    </row>
    <row r="46" spans="2:3" x14ac:dyDescent="0.45">
      <c r="B46" s="109">
        <f>Input!C31</f>
        <v>130</v>
      </c>
      <c r="C46" s="56">
        <f t="shared" si="0"/>
        <v>-7.0693824026913283</v>
      </c>
    </row>
    <row r="47" spans="2:3" x14ac:dyDescent="0.45">
      <c r="B47" s="109">
        <f>Input!C32</f>
        <v>135</v>
      </c>
      <c r="C47" s="56">
        <f t="shared" si="0"/>
        <v>-7.0693824026913283</v>
      </c>
    </row>
    <row r="48" spans="2:3" x14ac:dyDescent="0.45">
      <c r="B48" s="110">
        <f>Input!C33</f>
        <v>140</v>
      </c>
      <c r="C48" s="57">
        <f t="shared" si="0"/>
        <v>-7.0693824026913283</v>
      </c>
    </row>
    <row r="50" spans="2:3" x14ac:dyDescent="0.45">
      <c r="B50" s="296" t="s">
        <v>262</v>
      </c>
      <c r="C50" s="297">
        <f>C13-C10-C7</f>
        <v>-7.0693824026913283</v>
      </c>
    </row>
  </sheetData>
  <conditionalFormatting sqref="A1:XFD4 A5:B5 D5:XFD5 A6:XFD14 A49:XFD49 A15:A48 D15:XFD48 B19:C48 A51:XFD1048576 A50 D50:XFD50">
    <cfRule type="containsBlanks" dxfId="286" priority="6">
      <formula>LEN(TRIM(A1))=0</formula>
    </cfRule>
  </conditionalFormatting>
  <conditionalFormatting sqref="B15:C18">
    <cfRule type="containsBlanks" dxfId="285" priority="5">
      <formula>LEN(TRIM(B15))=0</formula>
    </cfRule>
  </conditionalFormatting>
  <conditionalFormatting sqref="B50">
    <cfRule type="containsBlanks" dxfId="284" priority="2">
      <formula>LEN(TRIM(B50))=0</formula>
    </cfRule>
  </conditionalFormatting>
  <conditionalFormatting sqref="C50">
    <cfRule type="containsBlanks" dxfId="283" priority="1">
      <formula>LEN(TRIM(C50))=0</formula>
    </cfRule>
  </conditionalFormatting>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7" tint="0.79998168889431442"/>
  </sheetPr>
  <dimension ref="B3:C50"/>
  <sheetViews>
    <sheetView zoomScale="72" zoomScaleNormal="72" workbookViewId="0">
      <selection activeCell="O45" sqref="O45"/>
    </sheetView>
  </sheetViews>
  <sheetFormatPr baseColWidth="10" defaultColWidth="9.1328125" defaultRowHeight="14.25" x14ac:dyDescent="0.45"/>
  <cols>
    <col min="2" max="2" width="45.3984375" bestFit="1" customWidth="1"/>
  </cols>
  <sheetData>
    <row r="3" spans="2:3" ht="15.75" x14ac:dyDescent="0.5">
      <c r="B3" s="112" t="s">
        <v>129</v>
      </c>
    </row>
    <row r="4" spans="2:3" ht="14.65" thickBot="1" x14ac:dyDescent="0.5"/>
    <row r="5" spans="2:3" x14ac:dyDescent="0.45">
      <c r="B5" s="2" t="s">
        <v>0</v>
      </c>
      <c r="C5" s="7"/>
    </row>
    <row r="6" spans="2:3" x14ac:dyDescent="0.45">
      <c r="B6" s="3" t="s">
        <v>35</v>
      </c>
      <c r="C6" s="101">
        <f>Input!C61</f>
        <v>1</v>
      </c>
    </row>
    <row r="7" spans="2:3" x14ac:dyDescent="0.45">
      <c r="B7" s="3" t="s">
        <v>34</v>
      </c>
      <c r="C7" s="101">
        <f>'Ableitung Optionspreise'!L27</f>
        <v>6.1273274075246036</v>
      </c>
    </row>
    <row r="8" spans="2:3" x14ac:dyDescent="0.45">
      <c r="B8" s="3" t="s">
        <v>33</v>
      </c>
      <c r="C8" s="101">
        <f>Input!C45</f>
        <v>72</v>
      </c>
    </row>
    <row r="9" spans="2:3" x14ac:dyDescent="0.45">
      <c r="B9" s="3" t="s">
        <v>39</v>
      </c>
      <c r="C9" s="101">
        <f>Input!C63</f>
        <v>1</v>
      </c>
    </row>
    <row r="10" spans="2:3" x14ac:dyDescent="0.45">
      <c r="B10" s="3" t="s">
        <v>40</v>
      </c>
      <c r="C10" s="101">
        <f>'Ableitung Optionspreise'!D27</f>
        <v>8.3120046774244081</v>
      </c>
    </row>
    <row r="11" spans="2:3" ht="14.65" thickBot="1" x14ac:dyDescent="0.5">
      <c r="B11" s="6" t="s">
        <v>41</v>
      </c>
      <c r="C11" s="111">
        <f>Input!C43</f>
        <v>68</v>
      </c>
    </row>
    <row r="19" spans="2:3" x14ac:dyDescent="0.45">
      <c r="B19" s="54" t="s">
        <v>4</v>
      </c>
      <c r="C19" s="55" t="s">
        <v>19</v>
      </c>
    </row>
    <row r="20" spans="2:3" x14ac:dyDescent="0.45">
      <c r="B20" s="109">
        <f>Input!C5</f>
        <v>0</v>
      </c>
      <c r="C20" s="56">
        <f>SUM(IF(B20&gt;$C$8,B20-$C$8-$C$7,-$C$7)*$C$6,IF(B20&lt;$C$11,$C$11-B20-$C$10,-$C$10)*$C$9)</f>
        <v>53.560667915050985</v>
      </c>
    </row>
    <row r="21" spans="2:3" x14ac:dyDescent="0.45">
      <c r="B21" s="109">
        <f>Input!C6</f>
        <v>5</v>
      </c>
      <c r="C21" s="56">
        <f t="shared" ref="C21:C48" si="0">SUM(IF(B21&gt;$C$8,B21-$C$8-$C$7,-$C$7)*$C$6,IF(B21&lt;$C$11,$C$11-B21-$C$10,-$C$10)*$C$9)</f>
        <v>48.560667915050985</v>
      </c>
    </row>
    <row r="22" spans="2:3" x14ac:dyDescent="0.45">
      <c r="B22" s="109">
        <f>Input!C7</f>
        <v>10</v>
      </c>
      <c r="C22" s="56">
        <f t="shared" si="0"/>
        <v>43.560667915050985</v>
      </c>
    </row>
    <row r="23" spans="2:3" x14ac:dyDescent="0.45">
      <c r="B23" s="109">
        <f>Input!C8</f>
        <v>15</v>
      </c>
      <c r="C23" s="56">
        <f t="shared" si="0"/>
        <v>38.560667915050985</v>
      </c>
    </row>
    <row r="24" spans="2:3" x14ac:dyDescent="0.45">
      <c r="B24" s="109">
        <f>Input!C9</f>
        <v>20</v>
      </c>
      <c r="C24" s="56">
        <f t="shared" si="0"/>
        <v>33.560667915050985</v>
      </c>
    </row>
    <row r="25" spans="2:3" x14ac:dyDescent="0.45">
      <c r="B25" s="109">
        <f>Input!C10</f>
        <v>25</v>
      </c>
      <c r="C25" s="56">
        <f t="shared" si="0"/>
        <v>28.560667915050985</v>
      </c>
    </row>
    <row r="26" spans="2:3" x14ac:dyDescent="0.45">
      <c r="B26" s="109">
        <f>Input!C11</f>
        <v>30</v>
      </c>
      <c r="C26" s="56">
        <f t="shared" si="0"/>
        <v>23.560667915050988</v>
      </c>
    </row>
    <row r="27" spans="2:3" x14ac:dyDescent="0.45">
      <c r="B27" s="109">
        <f>Input!C12</f>
        <v>35</v>
      </c>
      <c r="C27" s="56">
        <f t="shared" si="0"/>
        <v>18.560667915050988</v>
      </c>
    </row>
    <row r="28" spans="2:3" x14ac:dyDescent="0.45">
      <c r="B28" s="109">
        <f>Input!C13</f>
        <v>40</v>
      </c>
      <c r="C28" s="56">
        <f t="shared" si="0"/>
        <v>13.560667915050988</v>
      </c>
    </row>
    <row r="29" spans="2:3" x14ac:dyDescent="0.45">
      <c r="B29" s="109">
        <f>Input!C14</f>
        <v>45</v>
      </c>
      <c r="C29" s="56">
        <f t="shared" si="0"/>
        <v>8.5606679150509883</v>
      </c>
    </row>
    <row r="30" spans="2:3" x14ac:dyDescent="0.45">
      <c r="B30" s="109">
        <f>Input!C15</f>
        <v>50</v>
      </c>
      <c r="C30" s="56">
        <f t="shared" si="0"/>
        <v>3.5606679150509883</v>
      </c>
    </row>
    <row r="31" spans="2:3" x14ac:dyDescent="0.45">
      <c r="B31" s="109">
        <f>Input!C16</f>
        <v>55</v>
      </c>
      <c r="C31" s="56">
        <f t="shared" si="0"/>
        <v>-1.4393320849490117</v>
      </c>
    </row>
    <row r="32" spans="2:3" x14ac:dyDescent="0.45">
      <c r="B32" s="109">
        <f>Input!C17</f>
        <v>60</v>
      </c>
      <c r="C32" s="56">
        <f t="shared" si="0"/>
        <v>-6.4393320849490117</v>
      </c>
    </row>
    <row r="33" spans="2:3" x14ac:dyDescent="0.45">
      <c r="B33" s="109">
        <f>Input!C18</f>
        <v>65</v>
      </c>
      <c r="C33" s="56">
        <f t="shared" si="0"/>
        <v>-11.439332084949012</v>
      </c>
    </row>
    <row r="34" spans="2:3" x14ac:dyDescent="0.45">
      <c r="B34" s="109">
        <f>Input!C19</f>
        <v>70</v>
      </c>
      <c r="C34" s="56">
        <f t="shared" si="0"/>
        <v>-14.439332084949012</v>
      </c>
    </row>
    <row r="35" spans="2:3" x14ac:dyDescent="0.45">
      <c r="B35" s="109">
        <f>Input!C20</f>
        <v>75</v>
      </c>
      <c r="C35" s="56">
        <f t="shared" si="0"/>
        <v>-11.439332084949012</v>
      </c>
    </row>
    <row r="36" spans="2:3" x14ac:dyDescent="0.45">
      <c r="B36" s="109">
        <f>Input!C21</f>
        <v>80</v>
      </c>
      <c r="C36" s="56">
        <f t="shared" si="0"/>
        <v>-6.4393320849490117</v>
      </c>
    </row>
    <row r="37" spans="2:3" x14ac:dyDescent="0.45">
      <c r="B37" s="109">
        <f>Input!C22</f>
        <v>85</v>
      </c>
      <c r="C37" s="56">
        <f t="shared" si="0"/>
        <v>-1.4393320849490117</v>
      </c>
    </row>
    <row r="38" spans="2:3" x14ac:dyDescent="0.45">
      <c r="B38" s="109">
        <f>Input!C23</f>
        <v>90</v>
      </c>
      <c r="C38" s="56">
        <f t="shared" si="0"/>
        <v>3.5606679150509883</v>
      </c>
    </row>
    <row r="39" spans="2:3" x14ac:dyDescent="0.45">
      <c r="B39" s="109">
        <f>Input!C24</f>
        <v>95</v>
      </c>
      <c r="C39" s="56">
        <f t="shared" si="0"/>
        <v>8.5606679150509883</v>
      </c>
    </row>
    <row r="40" spans="2:3" x14ac:dyDescent="0.45">
      <c r="B40" s="109">
        <f>Input!C25</f>
        <v>100</v>
      </c>
      <c r="C40" s="56">
        <f t="shared" si="0"/>
        <v>13.560667915050988</v>
      </c>
    </row>
    <row r="41" spans="2:3" x14ac:dyDescent="0.45">
      <c r="B41" s="109">
        <f>Input!C26</f>
        <v>105</v>
      </c>
      <c r="C41" s="56">
        <f t="shared" si="0"/>
        <v>18.560667915050988</v>
      </c>
    </row>
    <row r="42" spans="2:3" x14ac:dyDescent="0.45">
      <c r="B42" s="109">
        <f>Input!C27</f>
        <v>110</v>
      </c>
      <c r="C42" s="56">
        <f t="shared" si="0"/>
        <v>23.560667915050988</v>
      </c>
    </row>
    <row r="43" spans="2:3" x14ac:dyDescent="0.45">
      <c r="B43" s="109">
        <f>Input!C28</f>
        <v>115</v>
      </c>
      <c r="C43" s="56">
        <f t="shared" si="0"/>
        <v>28.560667915050988</v>
      </c>
    </row>
    <row r="44" spans="2:3" x14ac:dyDescent="0.45">
      <c r="B44" s="109">
        <f>Input!C29</f>
        <v>120</v>
      </c>
      <c r="C44" s="56">
        <f t="shared" si="0"/>
        <v>33.560667915050985</v>
      </c>
    </row>
    <row r="45" spans="2:3" x14ac:dyDescent="0.45">
      <c r="B45" s="109">
        <f>Input!C30</f>
        <v>125</v>
      </c>
      <c r="C45" s="56">
        <f t="shared" si="0"/>
        <v>38.560667915050985</v>
      </c>
    </row>
    <row r="46" spans="2:3" x14ac:dyDescent="0.45">
      <c r="B46" s="109">
        <f>Input!C31</f>
        <v>130</v>
      </c>
      <c r="C46" s="56">
        <f t="shared" si="0"/>
        <v>43.560667915050985</v>
      </c>
    </row>
    <row r="47" spans="2:3" x14ac:dyDescent="0.45">
      <c r="B47" s="109">
        <f>Input!C32</f>
        <v>135</v>
      </c>
      <c r="C47" s="56">
        <f t="shared" si="0"/>
        <v>48.560667915050985</v>
      </c>
    </row>
    <row r="48" spans="2:3" x14ac:dyDescent="0.45">
      <c r="B48" s="110">
        <f>Input!C33</f>
        <v>140</v>
      </c>
      <c r="C48" s="57">
        <f t="shared" si="0"/>
        <v>53.560667915050985</v>
      </c>
    </row>
    <row r="50" spans="2:3" x14ac:dyDescent="0.45">
      <c r="B50" s="296" t="s">
        <v>262</v>
      </c>
      <c r="C50" s="297">
        <f>-C7-C10</f>
        <v>-14.439332084949012</v>
      </c>
    </row>
  </sheetData>
  <conditionalFormatting sqref="A1:XFD4 A5:B5 D5:XFD5 A6:XFD11 A49:XFD49 A12:A48 D12:XFD48 B19:C48 A51:XFD1048576 A50 D50:XFD50">
    <cfRule type="containsBlanks" dxfId="282" priority="6">
      <formula>LEN(TRIM(A1))=0</formula>
    </cfRule>
  </conditionalFormatting>
  <conditionalFormatting sqref="B12:C18">
    <cfRule type="containsBlanks" dxfId="281" priority="5">
      <formula>LEN(TRIM(B12))=0</formula>
    </cfRule>
  </conditionalFormatting>
  <conditionalFormatting sqref="B50">
    <cfRule type="containsBlanks" dxfId="280" priority="2">
      <formula>LEN(TRIM(B50))=0</formula>
    </cfRule>
  </conditionalFormatting>
  <conditionalFormatting sqref="C50">
    <cfRule type="containsBlanks" dxfId="279" priority="1">
      <formula>LEN(TRIM(C50))=0</formula>
    </cfRule>
  </conditionalFormatting>
  <pageMargins left="0.7" right="0.7" top="0.75" bottom="0.75" header="0.3" footer="0.3"/>
  <pageSetup paperSize="9" orientation="portrait" horizontalDpi="0" verticalDpi="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7" tint="0.79998168889431442"/>
  </sheetPr>
  <dimension ref="B3:C50"/>
  <sheetViews>
    <sheetView zoomScale="74" zoomScaleNormal="74" workbookViewId="0">
      <selection activeCell="M46" sqref="M46"/>
    </sheetView>
  </sheetViews>
  <sheetFormatPr baseColWidth="10" defaultColWidth="9.1328125" defaultRowHeight="14.25" x14ac:dyDescent="0.45"/>
  <cols>
    <col min="2" max="2" width="45.3984375" bestFit="1" customWidth="1"/>
  </cols>
  <sheetData>
    <row r="3" spans="2:3" ht="15.75" x14ac:dyDescent="0.5">
      <c r="B3" s="112" t="s">
        <v>130</v>
      </c>
    </row>
    <row r="4" spans="2:3" ht="14.65" thickBot="1" x14ac:dyDescent="0.5"/>
    <row r="5" spans="2:3" x14ac:dyDescent="0.45">
      <c r="B5" s="2" t="s">
        <v>0</v>
      </c>
      <c r="C5" s="7"/>
    </row>
    <row r="6" spans="2:3" x14ac:dyDescent="0.45">
      <c r="B6" s="126" t="s">
        <v>35</v>
      </c>
      <c r="C6" s="101">
        <f>Input!C61</f>
        <v>1</v>
      </c>
    </row>
    <row r="7" spans="2:3" x14ac:dyDescent="0.45">
      <c r="B7" s="126" t="s">
        <v>34</v>
      </c>
      <c r="C7" s="101">
        <f>'Ableitung Optionspreise'!H27</f>
        <v>6.8648048002898712</v>
      </c>
    </row>
    <row r="8" spans="2:3" x14ac:dyDescent="0.45">
      <c r="B8" s="126" t="s">
        <v>33</v>
      </c>
      <c r="C8" s="101">
        <f>Input!C44</f>
        <v>70</v>
      </c>
    </row>
    <row r="9" spans="2:3" x14ac:dyDescent="0.45">
      <c r="B9" s="126" t="s">
        <v>39</v>
      </c>
      <c r="C9" s="101">
        <f>Input!C63</f>
        <v>1</v>
      </c>
    </row>
    <row r="10" spans="2:3" x14ac:dyDescent="0.45">
      <c r="B10" s="126" t="s">
        <v>40</v>
      </c>
      <c r="C10" s="101">
        <f>'Ableitung Optionspreise'!I27</f>
        <v>9.4822794113231978</v>
      </c>
    </row>
    <row r="11" spans="2:3" ht="14.65" thickBot="1" x14ac:dyDescent="0.5">
      <c r="B11" s="128" t="s">
        <v>41</v>
      </c>
      <c r="C11" s="111">
        <f>Input!C44</f>
        <v>70</v>
      </c>
    </row>
    <row r="19" spans="2:3" x14ac:dyDescent="0.45">
      <c r="B19" s="54" t="s">
        <v>4</v>
      </c>
      <c r="C19" s="55" t="s">
        <v>19</v>
      </c>
    </row>
    <row r="20" spans="2:3" x14ac:dyDescent="0.45">
      <c r="B20" s="109">
        <f>Input!C5</f>
        <v>0</v>
      </c>
      <c r="C20" s="56">
        <f>SUM(IF(B20&gt;$C$8,B20-$C$8-$C$7,-$C$7)*$C$6,IF(B20&lt;$C$11,$C$11-B20-$C$10,-$C$10)*$C$9)</f>
        <v>53.652915788386935</v>
      </c>
    </row>
    <row r="21" spans="2:3" x14ac:dyDescent="0.45">
      <c r="B21" s="109">
        <f>Input!C6</f>
        <v>5</v>
      </c>
      <c r="C21" s="56">
        <f t="shared" ref="C21:C48" si="0">SUM(IF(B21&gt;$C$8,B21-$C$8-$C$7,-$C$7)*$C$6,IF(B21&lt;$C$11,$C$11-B21-$C$10,-$C$10)*$C$9)</f>
        <v>48.652915788386935</v>
      </c>
    </row>
    <row r="22" spans="2:3" x14ac:dyDescent="0.45">
      <c r="B22" s="109">
        <f>Input!C7</f>
        <v>10</v>
      </c>
      <c r="C22" s="56">
        <f t="shared" si="0"/>
        <v>43.652915788386935</v>
      </c>
    </row>
    <row r="23" spans="2:3" x14ac:dyDescent="0.45">
      <c r="B23" s="109">
        <f>Input!C8</f>
        <v>15</v>
      </c>
      <c r="C23" s="56">
        <f t="shared" si="0"/>
        <v>38.652915788386935</v>
      </c>
    </row>
    <row r="24" spans="2:3" x14ac:dyDescent="0.45">
      <c r="B24" s="109">
        <f>Input!C9</f>
        <v>20</v>
      </c>
      <c r="C24" s="56">
        <f t="shared" si="0"/>
        <v>33.652915788386935</v>
      </c>
    </row>
    <row r="25" spans="2:3" x14ac:dyDescent="0.45">
      <c r="B25" s="109">
        <f>Input!C10</f>
        <v>25</v>
      </c>
      <c r="C25" s="56">
        <f t="shared" si="0"/>
        <v>28.652915788386931</v>
      </c>
    </row>
    <row r="26" spans="2:3" x14ac:dyDescent="0.45">
      <c r="B26" s="109">
        <f>Input!C11</f>
        <v>30</v>
      </c>
      <c r="C26" s="56">
        <f t="shared" si="0"/>
        <v>23.652915788386931</v>
      </c>
    </row>
    <row r="27" spans="2:3" x14ac:dyDescent="0.45">
      <c r="B27" s="109">
        <f>Input!C12</f>
        <v>35</v>
      </c>
      <c r="C27" s="56">
        <f t="shared" si="0"/>
        <v>18.652915788386931</v>
      </c>
    </row>
    <row r="28" spans="2:3" x14ac:dyDescent="0.45">
      <c r="B28" s="109">
        <f>Input!C13</f>
        <v>40</v>
      </c>
      <c r="C28" s="56">
        <f t="shared" si="0"/>
        <v>13.652915788386931</v>
      </c>
    </row>
    <row r="29" spans="2:3" x14ac:dyDescent="0.45">
      <c r="B29" s="109">
        <f>Input!C14</f>
        <v>45</v>
      </c>
      <c r="C29" s="56">
        <f t="shared" si="0"/>
        <v>8.652915788386931</v>
      </c>
    </row>
    <row r="30" spans="2:3" x14ac:dyDescent="0.45">
      <c r="B30" s="109">
        <f>Input!C15</f>
        <v>50</v>
      </c>
      <c r="C30" s="56">
        <f t="shared" si="0"/>
        <v>3.652915788386931</v>
      </c>
    </row>
    <row r="31" spans="2:3" x14ac:dyDescent="0.45">
      <c r="B31" s="109">
        <f>Input!C16</f>
        <v>55</v>
      </c>
      <c r="C31" s="56">
        <f t="shared" si="0"/>
        <v>-1.347084211613069</v>
      </c>
    </row>
    <row r="32" spans="2:3" x14ac:dyDescent="0.45">
      <c r="B32" s="109">
        <f>Input!C17</f>
        <v>60</v>
      </c>
      <c r="C32" s="56">
        <f t="shared" si="0"/>
        <v>-6.347084211613069</v>
      </c>
    </row>
    <row r="33" spans="2:3" x14ac:dyDescent="0.45">
      <c r="B33" s="109">
        <f>Input!C18</f>
        <v>65</v>
      </c>
      <c r="C33" s="56">
        <f t="shared" si="0"/>
        <v>-11.347084211613069</v>
      </c>
    </row>
    <row r="34" spans="2:3" x14ac:dyDescent="0.45">
      <c r="B34" s="109">
        <f>Input!C19</f>
        <v>70</v>
      </c>
      <c r="C34" s="56">
        <f t="shared" si="0"/>
        <v>-16.347084211613069</v>
      </c>
    </row>
    <row r="35" spans="2:3" x14ac:dyDescent="0.45">
      <c r="B35" s="109">
        <f>Input!C20</f>
        <v>75</v>
      </c>
      <c r="C35" s="56">
        <f t="shared" si="0"/>
        <v>-11.347084211613069</v>
      </c>
    </row>
    <row r="36" spans="2:3" x14ac:dyDescent="0.45">
      <c r="B36" s="109">
        <f>Input!C21</f>
        <v>80</v>
      </c>
      <c r="C36" s="56">
        <f t="shared" si="0"/>
        <v>-6.347084211613069</v>
      </c>
    </row>
    <row r="37" spans="2:3" x14ac:dyDescent="0.45">
      <c r="B37" s="109">
        <f>Input!C22</f>
        <v>85</v>
      </c>
      <c r="C37" s="56">
        <f t="shared" si="0"/>
        <v>-1.347084211613069</v>
      </c>
    </row>
    <row r="38" spans="2:3" x14ac:dyDescent="0.45">
      <c r="B38" s="109">
        <f>Input!C23</f>
        <v>90</v>
      </c>
      <c r="C38" s="56">
        <f t="shared" si="0"/>
        <v>3.652915788386931</v>
      </c>
    </row>
    <row r="39" spans="2:3" x14ac:dyDescent="0.45">
      <c r="B39" s="109">
        <f>Input!C24</f>
        <v>95</v>
      </c>
      <c r="C39" s="56">
        <f t="shared" si="0"/>
        <v>8.652915788386931</v>
      </c>
    </row>
    <row r="40" spans="2:3" x14ac:dyDescent="0.45">
      <c r="B40" s="109">
        <f>Input!C25</f>
        <v>100</v>
      </c>
      <c r="C40" s="56">
        <f t="shared" si="0"/>
        <v>13.652915788386931</v>
      </c>
    </row>
    <row r="41" spans="2:3" x14ac:dyDescent="0.45">
      <c r="B41" s="109">
        <f>Input!C26</f>
        <v>105</v>
      </c>
      <c r="C41" s="56">
        <f t="shared" si="0"/>
        <v>18.652915788386931</v>
      </c>
    </row>
    <row r="42" spans="2:3" x14ac:dyDescent="0.45">
      <c r="B42" s="109">
        <f>Input!C27</f>
        <v>110</v>
      </c>
      <c r="C42" s="56">
        <f t="shared" si="0"/>
        <v>23.652915788386927</v>
      </c>
    </row>
    <row r="43" spans="2:3" x14ac:dyDescent="0.45">
      <c r="B43" s="109">
        <f>Input!C28</f>
        <v>115</v>
      </c>
      <c r="C43" s="56">
        <f t="shared" si="0"/>
        <v>28.652915788386927</v>
      </c>
    </row>
    <row r="44" spans="2:3" x14ac:dyDescent="0.45">
      <c r="B44" s="109">
        <f>Input!C29</f>
        <v>120</v>
      </c>
      <c r="C44" s="56">
        <f t="shared" si="0"/>
        <v>33.652915788386927</v>
      </c>
    </row>
    <row r="45" spans="2:3" x14ac:dyDescent="0.45">
      <c r="B45" s="109">
        <f>Input!C30</f>
        <v>125</v>
      </c>
      <c r="C45" s="56">
        <f t="shared" si="0"/>
        <v>38.652915788386927</v>
      </c>
    </row>
    <row r="46" spans="2:3" x14ac:dyDescent="0.45">
      <c r="B46" s="109">
        <f>Input!C31</f>
        <v>130</v>
      </c>
      <c r="C46" s="56">
        <f t="shared" si="0"/>
        <v>43.652915788386927</v>
      </c>
    </row>
    <row r="47" spans="2:3" x14ac:dyDescent="0.45">
      <c r="B47" s="109">
        <f>Input!C32</f>
        <v>135</v>
      </c>
      <c r="C47" s="56">
        <f t="shared" si="0"/>
        <v>48.652915788386927</v>
      </c>
    </row>
    <row r="48" spans="2:3" x14ac:dyDescent="0.45">
      <c r="B48" s="110">
        <f>Input!C33</f>
        <v>140</v>
      </c>
      <c r="C48" s="57">
        <f t="shared" si="0"/>
        <v>53.652915788386927</v>
      </c>
    </row>
    <row r="50" spans="2:3" x14ac:dyDescent="0.45">
      <c r="B50" s="296" t="s">
        <v>262</v>
      </c>
      <c r="C50" s="297">
        <f>-C7-C10</f>
        <v>-16.347084211613069</v>
      </c>
    </row>
  </sheetData>
  <conditionalFormatting sqref="A1:XFD4 A5:B5 D5:XFD5 A6:XFD11 A49:XFD49 A12:A48 D12:XFD48 B19:C48 A51:XFD1048576 A50 D50:XFD50">
    <cfRule type="containsBlanks" dxfId="278" priority="6">
      <formula>LEN(TRIM(A1))=0</formula>
    </cfRule>
  </conditionalFormatting>
  <conditionalFormatting sqref="B12:C18">
    <cfRule type="containsBlanks" dxfId="277" priority="5">
      <formula>LEN(TRIM(B12))=0</formula>
    </cfRule>
  </conditionalFormatting>
  <conditionalFormatting sqref="B50">
    <cfRule type="containsBlanks" dxfId="276" priority="2">
      <formula>LEN(TRIM(B50))=0</formula>
    </cfRule>
  </conditionalFormatting>
  <conditionalFormatting sqref="C50">
    <cfRule type="containsBlanks" dxfId="275" priority="1">
      <formula>LEN(TRIM(C50))=0</formula>
    </cfRule>
  </conditionalFormatting>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7" tint="0.79998168889431442"/>
  </sheetPr>
  <dimension ref="B3:C50"/>
  <sheetViews>
    <sheetView zoomScale="73" zoomScaleNormal="73" workbookViewId="0">
      <selection activeCell="O45" sqref="O45"/>
    </sheetView>
  </sheetViews>
  <sheetFormatPr baseColWidth="10" defaultColWidth="9.1328125" defaultRowHeight="14.25" x14ac:dyDescent="0.45"/>
  <cols>
    <col min="2" max="2" width="45.3984375" bestFit="1" customWidth="1"/>
  </cols>
  <sheetData>
    <row r="3" spans="2:3" ht="15.75" x14ac:dyDescent="0.5">
      <c r="B3" s="112" t="s">
        <v>131</v>
      </c>
    </row>
    <row r="4" spans="2:3" ht="14.65" thickBot="1" x14ac:dyDescent="0.5"/>
    <row r="5" spans="2:3" x14ac:dyDescent="0.45">
      <c r="B5" s="2" t="s">
        <v>0</v>
      </c>
      <c r="C5" s="7"/>
    </row>
    <row r="6" spans="2:3" x14ac:dyDescent="0.45">
      <c r="B6" s="3" t="s">
        <v>35</v>
      </c>
      <c r="C6" s="101">
        <f>Input!C61</f>
        <v>1</v>
      </c>
    </row>
    <row r="7" spans="2:3" x14ac:dyDescent="0.45">
      <c r="B7" s="3" t="s">
        <v>34</v>
      </c>
      <c r="C7" s="101">
        <f>'Ableitung Optionspreise'!H27</f>
        <v>6.8648048002898712</v>
      </c>
    </row>
    <row r="8" spans="2:3" x14ac:dyDescent="0.45">
      <c r="B8" s="3" t="s">
        <v>33</v>
      </c>
      <c r="C8" s="101">
        <f>Input!C44</f>
        <v>70</v>
      </c>
    </row>
    <row r="9" spans="2:3" x14ac:dyDescent="0.45">
      <c r="B9" s="3" t="s">
        <v>39</v>
      </c>
      <c r="C9" s="101">
        <f>Input!C64</f>
        <v>2</v>
      </c>
    </row>
    <row r="10" spans="2:3" x14ac:dyDescent="0.45">
      <c r="B10" s="3" t="s">
        <v>40</v>
      </c>
      <c r="C10" s="101">
        <f>'Ableitung Optionspreise'!I27</f>
        <v>9.4822794113231978</v>
      </c>
    </row>
    <row r="11" spans="2:3" ht="14.65" thickBot="1" x14ac:dyDescent="0.5">
      <c r="B11" s="6" t="s">
        <v>41</v>
      </c>
      <c r="C11" s="111">
        <f>Input!C44</f>
        <v>70</v>
      </c>
    </row>
    <row r="12" spans="2:3" x14ac:dyDescent="0.45">
      <c r="B12" s="36"/>
      <c r="C12" s="36"/>
    </row>
    <row r="19" spans="2:3" x14ac:dyDescent="0.45">
      <c r="B19" s="54" t="s">
        <v>4</v>
      </c>
      <c r="C19" s="55" t="s">
        <v>19</v>
      </c>
    </row>
    <row r="20" spans="2:3" x14ac:dyDescent="0.45">
      <c r="B20" s="109">
        <f>Input!C5</f>
        <v>0</v>
      </c>
      <c r="C20" s="56">
        <f>SUM(IF(B20&gt;$C$8,B20-$C$8-$C$7,-$C$7)*$C$6,IF(B20&lt;$C$11,$C$11-B20-$C$10,-$C$10)*$C$9)</f>
        <v>114.17063637706373</v>
      </c>
    </row>
    <row r="21" spans="2:3" x14ac:dyDescent="0.45">
      <c r="B21" s="109">
        <f>Input!C6</f>
        <v>5</v>
      </c>
      <c r="C21" s="56">
        <f>SUM(IF(B21&gt;$C$8,B21-$C$8-$C$7,-$C$7)*$C$6,IF(B21&lt;$C$11,$C$11-B21-$C$10,-$C$10)*$C$9)</f>
        <v>104.17063637706373</v>
      </c>
    </row>
    <row r="22" spans="2:3" x14ac:dyDescent="0.45">
      <c r="B22" s="109">
        <f>Input!C7</f>
        <v>10</v>
      </c>
      <c r="C22" s="56">
        <f t="shared" ref="C22:C48" si="0">SUM(IF(B22&gt;$C$8,B22-$C$8-$C$7,-$C$7)*$C$6,IF(B22&lt;$C$11,$C$11-B22-$C$10,-$C$10)*$C$9)</f>
        <v>94.17063637706373</v>
      </c>
    </row>
    <row r="23" spans="2:3" x14ac:dyDescent="0.45">
      <c r="B23" s="109">
        <f>Input!C8</f>
        <v>15</v>
      </c>
      <c r="C23" s="56">
        <f t="shared" si="0"/>
        <v>84.17063637706373</v>
      </c>
    </row>
    <row r="24" spans="2:3" x14ac:dyDescent="0.45">
      <c r="B24" s="109">
        <f>Input!C9</f>
        <v>20</v>
      </c>
      <c r="C24" s="56">
        <f t="shared" si="0"/>
        <v>74.17063637706373</v>
      </c>
    </row>
    <row r="25" spans="2:3" x14ac:dyDescent="0.45">
      <c r="B25" s="109">
        <f>Input!C10</f>
        <v>25</v>
      </c>
      <c r="C25" s="56">
        <f t="shared" si="0"/>
        <v>64.17063637706373</v>
      </c>
    </row>
    <row r="26" spans="2:3" x14ac:dyDescent="0.45">
      <c r="B26" s="109">
        <f>Input!C11</f>
        <v>30</v>
      </c>
      <c r="C26" s="56">
        <f t="shared" si="0"/>
        <v>54.17063637706373</v>
      </c>
    </row>
    <row r="27" spans="2:3" x14ac:dyDescent="0.45">
      <c r="B27" s="109">
        <f>Input!C12</f>
        <v>35</v>
      </c>
      <c r="C27" s="56">
        <f t="shared" si="0"/>
        <v>44.17063637706373</v>
      </c>
    </row>
    <row r="28" spans="2:3" x14ac:dyDescent="0.45">
      <c r="B28" s="109">
        <f>Input!C13</f>
        <v>40</v>
      </c>
      <c r="C28" s="56">
        <f t="shared" si="0"/>
        <v>34.17063637706373</v>
      </c>
    </row>
    <row r="29" spans="2:3" x14ac:dyDescent="0.45">
      <c r="B29" s="109">
        <f>Input!C14</f>
        <v>45</v>
      </c>
      <c r="C29" s="56">
        <f t="shared" si="0"/>
        <v>24.170636377063733</v>
      </c>
    </row>
    <row r="30" spans="2:3" x14ac:dyDescent="0.45">
      <c r="B30" s="109">
        <f>Input!C15</f>
        <v>50</v>
      </c>
      <c r="C30" s="56">
        <f t="shared" si="0"/>
        <v>14.170636377063733</v>
      </c>
    </row>
    <row r="31" spans="2:3" x14ac:dyDescent="0.45">
      <c r="B31" s="109">
        <f>Input!C16</f>
        <v>55</v>
      </c>
      <c r="C31" s="56">
        <f t="shared" si="0"/>
        <v>4.1706363770637331</v>
      </c>
    </row>
    <row r="32" spans="2:3" x14ac:dyDescent="0.45">
      <c r="B32" s="109">
        <f>Input!C17</f>
        <v>60</v>
      </c>
      <c r="C32" s="56">
        <f t="shared" si="0"/>
        <v>-5.8293636229362669</v>
      </c>
    </row>
    <row r="33" spans="2:3" x14ac:dyDescent="0.45">
      <c r="B33" s="109">
        <f>Input!C18</f>
        <v>65</v>
      </c>
      <c r="C33" s="56">
        <f t="shared" si="0"/>
        <v>-15.829363622936267</v>
      </c>
    </row>
    <row r="34" spans="2:3" x14ac:dyDescent="0.45">
      <c r="B34" s="109">
        <f>Input!C19</f>
        <v>70</v>
      </c>
      <c r="C34" s="56">
        <f t="shared" si="0"/>
        <v>-25.829363622936267</v>
      </c>
    </row>
    <row r="35" spans="2:3" x14ac:dyDescent="0.45">
      <c r="B35" s="109">
        <f>Input!C20</f>
        <v>75</v>
      </c>
      <c r="C35" s="56">
        <f t="shared" si="0"/>
        <v>-20.829363622936267</v>
      </c>
    </row>
    <row r="36" spans="2:3" x14ac:dyDescent="0.45">
      <c r="B36" s="109">
        <f>Input!C21</f>
        <v>80</v>
      </c>
      <c r="C36" s="56">
        <f t="shared" si="0"/>
        <v>-15.829363622936267</v>
      </c>
    </row>
    <row r="37" spans="2:3" x14ac:dyDescent="0.45">
      <c r="B37" s="109">
        <f>Input!C22</f>
        <v>85</v>
      </c>
      <c r="C37" s="56">
        <f t="shared" si="0"/>
        <v>-10.829363622936267</v>
      </c>
    </row>
    <row r="38" spans="2:3" x14ac:dyDescent="0.45">
      <c r="B38" s="109">
        <f>Input!C23</f>
        <v>90</v>
      </c>
      <c r="C38" s="56">
        <f t="shared" si="0"/>
        <v>-5.8293636229362669</v>
      </c>
    </row>
    <row r="39" spans="2:3" x14ac:dyDescent="0.45">
      <c r="B39" s="109">
        <f>Input!C24</f>
        <v>95</v>
      </c>
      <c r="C39" s="56">
        <f t="shared" si="0"/>
        <v>-0.82936362293626686</v>
      </c>
    </row>
    <row r="40" spans="2:3" x14ac:dyDescent="0.45">
      <c r="B40" s="109">
        <f>Input!C25</f>
        <v>100</v>
      </c>
      <c r="C40" s="56">
        <f t="shared" si="0"/>
        <v>4.1706363770637331</v>
      </c>
    </row>
    <row r="41" spans="2:3" x14ac:dyDescent="0.45">
      <c r="B41" s="109">
        <f>Input!C26</f>
        <v>105</v>
      </c>
      <c r="C41" s="56">
        <f t="shared" si="0"/>
        <v>9.1706363770637331</v>
      </c>
    </row>
    <row r="42" spans="2:3" x14ac:dyDescent="0.45">
      <c r="B42" s="109">
        <f>Input!C27</f>
        <v>110</v>
      </c>
      <c r="C42" s="56">
        <f t="shared" si="0"/>
        <v>14.17063637706373</v>
      </c>
    </row>
    <row r="43" spans="2:3" x14ac:dyDescent="0.45">
      <c r="B43" s="109">
        <f>Input!C28</f>
        <v>115</v>
      </c>
      <c r="C43" s="56">
        <f t="shared" si="0"/>
        <v>19.17063637706373</v>
      </c>
    </row>
    <row r="44" spans="2:3" x14ac:dyDescent="0.45">
      <c r="B44" s="109">
        <f>Input!C29</f>
        <v>120</v>
      </c>
      <c r="C44" s="56">
        <f t="shared" si="0"/>
        <v>24.17063637706373</v>
      </c>
    </row>
    <row r="45" spans="2:3" x14ac:dyDescent="0.45">
      <c r="B45" s="109">
        <f>Input!C30</f>
        <v>125</v>
      </c>
      <c r="C45" s="56">
        <f t="shared" si="0"/>
        <v>29.17063637706373</v>
      </c>
    </row>
    <row r="46" spans="2:3" x14ac:dyDescent="0.45">
      <c r="B46" s="109">
        <f>Input!C31</f>
        <v>130</v>
      </c>
      <c r="C46" s="56">
        <f t="shared" si="0"/>
        <v>34.17063637706373</v>
      </c>
    </row>
    <row r="47" spans="2:3" x14ac:dyDescent="0.45">
      <c r="B47" s="109">
        <f>Input!C32</f>
        <v>135</v>
      </c>
      <c r="C47" s="56">
        <f t="shared" si="0"/>
        <v>39.17063637706373</v>
      </c>
    </row>
    <row r="48" spans="2:3" x14ac:dyDescent="0.45">
      <c r="B48" s="110">
        <f>Input!C33</f>
        <v>140</v>
      </c>
      <c r="C48" s="57">
        <f t="shared" si="0"/>
        <v>44.17063637706373</v>
      </c>
    </row>
    <row r="50" spans="2:3" x14ac:dyDescent="0.45">
      <c r="B50" s="296" t="s">
        <v>262</v>
      </c>
      <c r="C50" s="297">
        <f>-(C9*C10)-C7</f>
        <v>-25.829363622936267</v>
      </c>
    </row>
  </sheetData>
  <conditionalFormatting sqref="A1:XFD4 A5:B5 D5:XFD5 A6:XFD12 A49:XFD49 A13:A48 D13:XFD48 B19:C48 A51:XFD1048576 A50 D50:XFD50">
    <cfRule type="containsBlanks" dxfId="274" priority="6">
      <formula>LEN(TRIM(A1))=0</formula>
    </cfRule>
  </conditionalFormatting>
  <conditionalFormatting sqref="B13:C18">
    <cfRule type="containsBlanks" dxfId="273" priority="5">
      <formula>LEN(TRIM(B13))=0</formula>
    </cfRule>
  </conditionalFormatting>
  <conditionalFormatting sqref="B50">
    <cfRule type="containsBlanks" dxfId="272" priority="2">
      <formula>LEN(TRIM(B50))=0</formula>
    </cfRule>
  </conditionalFormatting>
  <conditionalFormatting sqref="C50">
    <cfRule type="containsBlanks" dxfId="271" priority="1">
      <formula>LEN(TRIM(C50))=0</formula>
    </cfRule>
  </conditionalFormatting>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7" tint="0.79998168889431442"/>
  </sheetPr>
  <dimension ref="B3:C50"/>
  <sheetViews>
    <sheetView zoomScale="71" zoomScaleNormal="71" workbookViewId="0">
      <selection activeCell="O45" sqref="O45"/>
    </sheetView>
  </sheetViews>
  <sheetFormatPr baseColWidth="10" defaultColWidth="9.1328125" defaultRowHeight="14.25" x14ac:dyDescent="0.45"/>
  <cols>
    <col min="2" max="2" width="45.3984375" bestFit="1" customWidth="1"/>
  </cols>
  <sheetData>
    <row r="3" spans="2:3" ht="15.75" x14ac:dyDescent="0.5">
      <c r="B3" s="112" t="s">
        <v>132</v>
      </c>
    </row>
    <row r="4" spans="2:3" ht="14.65" thickBot="1" x14ac:dyDescent="0.5"/>
    <row r="5" spans="2:3" x14ac:dyDescent="0.45">
      <c r="B5" s="2" t="s">
        <v>0</v>
      </c>
      <c r="C5" s="7"/>
    </row>
    <row r="6" spans="2:3" x14ac:dyDescent="0.45">
      <c r="B6" s="3" t="s">
        <v>35</v>
      </c>
      <c r="C6" s="101">
        <f>Input!C62</f>
        <v>2</v>
      </c>
    </row>
    <row r="7" spans="2:3" x14ac:dyDescent="0.45">
      <c r="B7" s="3" t="s">
        <v>34</v>
      </c>
      <c r="C7" s="101">
        <f>'Ableitung Optionspreise'!H27</f>
        <v>6.8648048002898712</v>
      </c>
    </row>
    <row r="8" spans="2:3" x14ac:dyDescent="0.45">
      <c r="B8" s="3" t="s">
        <v>33</v>
      </c>
      <c r="C8" s="101">
        <f>Input!C44</f>
        <v>70</v>
      </c>
    </row>
    <row r="9" spans="2:3" x14ac:dyDescent="0.45">
      <c r="B9" s="3" t="s">
        <v>39</v>
      </c>
      <c r="C9" s="101">
        <f>Input!C63</f>
        <v>1</v>
      </c>
    </row>
    <row r="10" spans="2:3" x14ac:dyDescent="0.45">
      <c r="B10" s="3" t="s">
        <v>40</v>
      </c>
      <c r="C10" s="101">
        <f>'Ableitung Optionspreise'!I27</f>
        <v>9.4822794113231978</v>
      </c>
    </row>
    <row r="11" spans="2:3" ht="14.65" thickBot="1" x14ac:dyDescent="0.5">
      <c r="B11" s="6" t="s">
        <v>41</v>
      </c>
      <c r="C11" s="111">
        <f>Input!C44</f>
        <v>70</v>
      </c>
    </row>
    <row r="12" spans="2:3" x14ac:dyDescent="0.45">
      <c r="B12" s="36"/>
      <c r="C12" s="36"/>
    </row>
    <row r="19" spans="2:3" x14ac:dyDescent="0.45">
      <c r="B19" s="54" t="s">
        <v>4</v>
      </c>
      <c r="C19" s="55" t="s">
        <v>19</v>
      </c>
    </row>
    <row r="20" spans="2:3" x14ac:dyDescent="0.45">
      <c r="B20" s="109">
        <f>Input!C5</f>
        <v>0</v>
      </c>
      <c r="C20" s="56">
        <f>SUM(IF(B20&gt;$C$8,B20-$C$8-$C$7,-$C$7)*$C$6,IF(B20&lt;$C$11,$C$11-B20-$C$10,-$C$10)*$C$9)</f>
        <v>46.78811098809706</v>
      </c>
    </row>
    <row r="21" spans="2:3" x14ac:dyDescent="0.45">
      <c r="B21" s="109">
        <f>Input!C6</f>
        <v>5</v>
      </c>
      <c r="C21" s="56">
        <f t="shared" ref="C21:C48" si="0">SUM(IF(B21&gt;$C$8,B21-$C$8-$C$7,-$C$7)*$C$6,IF(B21&lt;$C$11,$C$11-B21-$C$10,-$C$10)*$C$9)</f>
        <v>41.78811098809706</v>
      </c>
    </row>
    <row r="22" spans="2:3" x14ac:dyDescent="0.45">
      <c r="B22" s="109">
        <f>Input!C7</f>
        <v>10</v>
      </c>
      <c r="C22" s="56">
        <f t="shared" si="0"/>
        <v>36.78811098809706</v>
      </c>
    </row>
    <row r="23" spans="2:3" x14ac:dyDescent="0.45">
      <c r="B23" s="109">
        <f>Input!C8</f>
        <v>15</v>
      </c>
      <c r="C23" s="56">
        <f t="shared" si="0"/>
        <v>31.78811098809706</v>
      </c>
    </row>
    <row r="24" spans="2:3" x14ac:dyDescent="0.45">
      <c r="B24" s="109">
        <f>Input!C9</f>
        <v>20</v>
      </c>
      <c r="C24" s="56">
        <f t="shared" si="0"/>
        <v>26.78811098809706</v>
      </c>
    </row>
    <row r="25" spans="2:3" x14ac:dyDescent="0.45">
      <c r="B25" s="109">
        <f>Input!C10</f>
        <v>25</v>
      </c>
      <c r="C25" s="56">
        <f t="shared" si="0"/>
        <v>21.78811098809706</v>
      </c>
    </row>
    <row r="26" spans="2:3" x14ac:dyDescent="0.45">
      <c r="B26" s="109">
        <f>Input!C11</f>
        <v>30</v>
      </c>
      <c r="C26" s="56">
        <f t="shared" si="0"/>
        <v>16.78811098809706</v>
      </c>
    </row>
    <row r="27" spans="2:3" x14ac:dyDescent="0.45">
      <c r="B27" s="109">
        <f>Input!C12</f>
        <v>35</v>
      </c>
      <c r="C27" s="56">
        <f t="shared" si="0"/>
        <v>11.78811098809706</v>
      </c>
    </row>
    <row r="28" spans="2:3" x14ac:dyDescent="0.45">
      <c r="B28" s="109">
        <f>Input!C13</f>
        <v>40</v>
      </c>
      <c r="C28" s="56">
        <f t="shared" si="0"/>
        <v>6.7881109880970598</v>
      </c>
    </row>
    <row r="29" spans="2:3" x14ac:dyDescent="0.45">
      <c r="B29" s="109">
        <f>Input!C14</f>
        <v>45</v>
      </c>
      <c r="C29" s="56">
        <f t="shared" si="0"/>
        <v>1.7881109880970598</v>
      </c>
    </row>
    <row r="30" spans="2:3" x14ac:dyDescent="0.45">
      <c r="B30" s="109">
        <f>Input!C15</f>
        <v>50</v>
      </c>
      <c r="C30" s="56">
        <f t="shared" si="0"/>
        <v>-3.2118890119029402</v>
      </c>
    </row>
    <row r="31" spans="2:3" x14ac:dyDescent="0.45">
      <c r="B31" s="109">
        <f>Input!C16</f>
        <v>55</v>
      </c>
      <c r="C31" s="56">
        <f t="shared" si="0"/>
        <v>-8.2118890119029402</v>
      </c>
    </row>
    <row r="32" spans="2:3" x14ac:dyDescent="0.45">
      <c r="B32" s="109">
        <f>Input!C17</f>
        <v>60</v>
      </c>
      <c r="C32" s="56">
        <f t="shared" si="0"/>
        <v>-13.21188901190294</v>
      </c>
    </row>
    <row r="33" spans="2:3" x14ac:dyDescent="0.45">
      <c r="B33" s="109">
        <f>Input!C18</f>
        <v>65</v>
      </c>
      <c r="C33" s="56">
        <f t="shared" si="0"/>
        <v>-18.21188901190294</v>
      </c>
    </row>
    <row r="34" spans="2:3" x14ac:dyDescent="0.45">
      <c r="B34" s="109">
        <f>Input!C19</f>
        <v>70</v>
      </c>
      <c r="C34" s="56">
        <f t="shared" si="0"/>
        <v>-23.21188901190294</v>
      </c>
    </row>
    <row r="35" spans="2:3" x14ac:dyDescent="0.45">
      <c r="B35" s="109">
        <f>Input!C20</f>
        <v>75</v>
      </c>
      <c r="C35" s="56">
        <f t="shared" si="0"/>
        <v>-13.21188901190294</v>
      </c>
    </row>
    <row r="36" spans="2:3" x14ac:dyDescent="0.45">
      <c r="B36" s="109">
        <f>Input!C21</f>
        <v>80</v>
      </c>
      <c r="C36" s="56">
        <f t="shared" si="0"/>
        <v>-3.2118890119029402</v>
      </c>
    </row>
    <row r="37" spans="2:3" x14ac:dyDescent="0.45">
      <c r="B37" s="109">
        <f>Input!C22</f>
        <v>85</v>
      </c>
      <c r="C37" s="56">
        <f t="shared" si="0"/>
        <v>6.7881109880970598</v>
      </c>
    </row>
    <row r="38" spans="2:3" x14ac:dyDescent="0.45">
      <c r="B38" s="109">
        <f>Input!C23</f>
        <v>90</v>
      </c>
      <c r="C38" s="56">
        <f t="shared" si="0"/>
        <v>16.78811098809706</v>
      </c>
    </row>
    <row r="39" spans="2:3" x14ac:dyDescent="0.45">
      <c r="B39" s="109">
        <f>Input!C24</f>
        <v>95</v>
      </c>
      <c r="C39" s="56">
        <f t="shared" si="0"/>
        <v>26.78811098809706</v>
      </c>
    </row>
    <row r="40" spans="2:3" x14ac:dyDescent="0.45">
      <c r="B40" s="109">
        <f>Input!C25</f>
        <v>100</v>
      </c>
      <c r="C40" s="56">
        <f t="shared" si="0"/>
        <v>36.78811098809706</v>
      </c>
    </row>
    <row r="41" spans="2:3" x14ac:dyDescent="0.45">
      <c r="B41" s="109">
        <f>Input!C26</f>
        <v>105</v>
      </c>
      <c r="C41" s="56">
        <f t="shared" si="0"/>
        <v>46.78811098809706</v>
      </c>
    </row>
    <row r="42" spans="2:3" x14ac:dyDescent="0.45">
      <c r="B42" s="109">
        <f>Input!C27</f>
        <v>110</v>
      </c>
      <c r="C42" s="56">
        <f t="shared" si="0"/>
        <v>56.788110988097053</v>
      </c>
    </row>
    <row r="43" spans="2:3" x14ac:dyDescent="0.45">
      <c r="B43" s="109">
        <f>Input!C28</f>
        <v>115</v>
      </c>
      <c r="C43" s="56">
        <f t="shared" si="0"/>
        <v>66.78811098809706</v>
      </c>
    </row>
    <row r="44" spans="2:3" x14ac:dyDescent="0.45">
      <c r="B44" s="109">
        <f>Input!C29</f>
        <v>120</v>
      </c>
      <c r="C44" s="56">
        <f t="shared" si="0"/>
        <v>76.78811098809706</v>
      </c>
    </row>
    <row r="45" spans="2:3" x14ac:dyDescent="0.45">
      <c r="B45" s="109">
        <f>Input!C30</f>
        <v>125</v>
      </c>
      <c r="C45" s="56">
        <f t="shared" si="0"/>
        <v>86.78811098809706</v>
      </c>
    </row>
    <row r="46" spans="2:3" x14ac:dyDescent="0.45">
      <c r="B46" s="109">
        <f>Input!C31</f>
        <v>130</v>
      </c>
      <c r="C46" s="56">
        <f t="shared" si="0"/>
        <v>96.78811098809706</v>
      </c>
    </row>
    <row r="47" spans="2:3" x14ac:dyDescent="0.45">
      <c r="B47" s="109">
        <f>Input!C32</f>
        <v>135</v>
      </c>
      <c r="C47" s="56">
        <f t="shared" si="0"/>
        <v>106.78811098809706</v>
      </c>
    </row>
    <row r="48" spans="2:3" x14ac:dyDescent="0.45">
      <c r="B48" s="110">
        <f>Input!C33</f>
        <v>140</v>
      </c>
      <c r="C48" s="57">
        <f t="shared" si="0"/>
        <v>116.78811098809706</v>
      </c>
    </row>
    <row r="50" spans="2:3" x14ac:dyDescent="0.45">
      <c r="B50" s="296" t="s">
        <v>262</v>
      </c>
      <c r="C50" s="297">
        <f>-C10-(C6*C7)</f>
        <v>-23.21188901190294</v>
      </c>
    </row>
  </sheetData>
  <conditionalFormatting sqref="A1:XFD4 A5:B5 D5:XFD5 A6:XFD12 A49:XFD49 A13:A48 D13:XFD48 B19:C48 A51:XFD1048576 A50 D50:XFD50">
    <cfRule type="containsBlanks" dxfId="270" priority="6">
      <formula>LEN(TRIM(A1))=0</formula>
    </cfRule>
  </conditionalFormatting>
  <conditionalFormatting sqref="B13:C18">
    <cfRule type="containsBlanks" dxfId="269" priority="5">
      <formula>LEN(TRIM(B13))=0</formula>
    </cfRule>
  </conditionalFormatting>
  <conditionalFormatting sqref="B50">
    <cfRule type="containsBlanks" dxfId="268" priority="2">
      <formula>LEN(TRIM(B50))=0</formula>
    </cfRule>
  </conditionalFormatting>
  <conditionalFormatting sqref="C50">
    <cfRule type="containsBlanks" dxfId="267" priority="1">
      <formula>LEN(TRIM(C50))=0</formula>
    </cfRule>
  </conditionalFormatting>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7" tint="0.79998168889431442"/>
  </sheetPr>
  <dimension ref="B3:C50"/>
  <sheetViews>
    <sheetView zoomScale="74" zoomScaleNormal="74" workbookViewId="0">
      <selection activeCell="N35" sqref="N35"/>
    </sheetView>
  </sheetViews>
  <sheetFormatPr baseColWidth="10" defaultColWidth="9.1328125" defaultRowHeight="14.25" x14ac:dyDescent="0.45"/>
  <cols>
    <col min="2" max="2" width="45.3984375" bestFit="1" customWidth="1"/>
  </cols>
  <sheetData>
    <row r="3" spans="2:3" ht="15.75" x14ac:dyDescent="0.5">
      <c r="B3" s="112" t="s">
        <v>133</v>
      </c>
    </row>
    <row r="4" spans="2:3" ht="14.65" thickBot="1" x14ac:dyDescent="0.5"/>
    <row r="5" spans="2:3" x14ac:dyDescent="0.45">
      <c r="B5" s="2" t="s">
        <v>0</v>
      </c>
      <c r="C5" s="7"/>
    </row>
    <row r="6" spans="2:3" x14ac:dyDescent="0.45">
      <c r="B6" s="3" t="s">
        <v>35</v>
      </c>
      <c r="C6" s="101">
        <f>Input!C61</f>
        <v>1</v>
      </c>
    </row>
    <row r="7" spans="2:3" x14ac:dyDescent="0.45">
      <c r="B7" s="3" t="s">
        <v>34</v>
      </c>
      <c r="C7" s="101">
        <f>'Ableitung Optionspreise'!C27</f>
        <v>7.6746297338894109</v>
      </c>
    </row>
    <row r="8" spans="2:3" x14ac:dyDescent="0.45">
      <c r="B8" s="3" t="s">
        <v>33</v>
      </c>
      <c r="C8" s="101">
        <f>Input!C43</f>
        <v>68</v>
      </c>
    </row>
    <row r="9" spans="2:3" x14ac:dyDescent="0.45">
      <c r="B9" s="3" t="s">
        <v>39</v>
      </c>
      <c r="C9" s="101">
        <f>Input!C63</f>
        <v>1</v>
      </c>
    </row>
    <row r="10" spans="2:3" x14ac:dyDescent="0.45">
      <c r="B10" s="3" t="s">
        <v>40</v>
      </c>
      <c r="C10" s="101">
        <f>'Ableitung Optionspreise'!M27</f>
        <v>10.724901686056278</v>
      </c>
    </row>
    <row r="11" spans="2:3" ht="14.65" thickBot="1" x14ac:dyDescent="0.5">
      <c r="B11" s="6" t="s">
        <v>41</v>
      </c>
      <c r="C11" s="111">
        <f>Input!C45</f>
        <v>72</v>
      </c>
    </row>
    <row r="19" spans="2:3" x14ac:dyDescent="0.45">
      <c r="B19" s="54" t="s">
        <v>4</v>
      </c>
      <c r="C19" s="55" t="s">
        <v>19</v>
      </c>
    </row>
    <row r="20" spans="2:3" x14ac:dyDescent="0.45">
      <c r="B20" s="109">
        <f>Input!C5</f>
        <v>0</v>
      </c>
      <c r="C20" s="56">
        <f>SUM(IF(B20&gt;$C$8,B20-$C$8-$C$7,-$C$7)*$C$6,IF(B20&lt;$C$11,$C$11-B20-$C$10,-$C$10)*$C$9)</f>
        <v>53.600468580054311</v>
      </c>
    </row>
    <row r="21" spans="2:3" x14ac:dyDescent="0.45">
      <c r="B21" s="109">
        <f>Input!C6</f>
        <v>5</v>
      </c>
      <c r="C21" s="56">
        <f t="shared" ref="C21:C48" si="0">SUM(IF(B21&gt;$C$8,B21-$C$8-$C$7,-$C$7)*$C$6,IF(B21&lt;$C$11,$C$11-B21-$C$10,-$C$10)*$C$9)</f>
        <v>48.600468580054311</v>
      </c>
    </row>
    <row r="22" spans="2:3" x14ac:dyDescent="0.45">
      <c r="B22" s="109">
        <f>Input!C7</f>
        <v>10</v>
      </c>
      <c r="C22" s="56">
        <f t="shared" si="0"/>
        <v>43.600468580054311</v>
      </c>
    </row>
    <row r="23" spans="2:3" x14ac:dyDescent="0.45">
      <c r="B23" s="109">
        <f>Input!C8</f>
        <v>15</v>
      </c>
      <c r="C23" s="56">
        <f t="shared" si="0"/>
        <v>38.600468580054311</v>
      </c>
    </row>
    <row r="24" spans="2:3" x14ac:dyDescent="0.45">
      <c r="B24" s="109">
        <f>Input!C9</f>
        <v>20</v>
      </c>
      <c r="C24" s="56">
        <f t="shared" si="0"/>
        <v>33.600468580054311</v>
      </c>
    </row>
    <row r="25" spans="2:3" x14ac:dyDescent="0.45">
      <c r="B25" s="109">
        <f>Input!C10</f>
        <v>25</v>
      </c>
      <c r="C25" s="56">
        <f t="shared" si="0"/>
        <v>28.600468580054311</v>
      </c>
    </row>
    <row r="26" spans="2:3" x14ac:dyDescent="0.45">
      <c r="B26" s="109">
        <f>Input!C11</f>
        <v>30</v>
      </c>
      <c r="C26" s="56">
        <f t="shared" si="0"/>
        <v>23.600468580054311</v>
      </c>
    </row>
    <row r="27" spans="2:3" x14ac:dyDescent="0.45">
      <c r="B27" s="109">
        <f>Input!C12</f>
        <v>35</v>
      </c>
      <c r="C27" s="56">
        <f t="shared" si="0"/>
        <v>18.600468580054311</v>
      </c>
    </row>
    <row r="28" spans="2:3" x14ac:dyDescent="0.45">
      <c r="B28" s="109">
        <f>Input!C13</f>
        <v>40</v>
      </c>
      <c r="C28" s="56">
        <f t="shared" si="0"/>
        <v>13.600468580054311</v>
      </c>
    </row>
    <row r="29" spans="2:3" x14ac:dyDescent="0.45">
      <c r="B29" s="109">
        <f>Input!C14</f>
        <v>45</v>
      </c>
      <c r="C29" s="56">
        <f t="shared" si="0"/>
        <v>8.6004685800543115</v>
      </c>
    </row>
    <row r="30" spans="2:3" x14ac:dyDescent="0.45">
      <c r="B30" s="109">
        <f>Input!C15</f>
        <v>50</v>
      </c>
      <c r="C30" s="56">
        <f t="shared" si="0"/>
        <v>3.6004685800543115</v>
      </c>
    </row>
    <row r="31" spans="2:3" x14ac:dyDescent="0.45">
      <c r="B31" s="109">
        <f>Input!C16</f>
        <v>55</v>
      </c>
      <c r="C31" s="56">
        <f t="shared" si="0"/>
        <v>-1.3995314199456885</v>
      </c>
    </row>
    <row r="32" spans="2:3" x14ac:dyDescent="0.45">
      <c r="B32" s="109">
        <f>Input!C17</f>
        <v>60</v>
      </c>
      <c r="C32" s="56">
        <f t="shared" si="0"/>
        <v>-6.3995314199456885</v>
      </c>
    </row>
    <row r="33" spans="2:3" x14ac:dyDescent="0.45">
      <c r="B33" s="109">
        <f>Input!C18</f>
        <v>65</v>
      </c>
      <c r="C33" s="56">
        <f t="shared" si="0"/>
        <v>-11.399531419945689</v>
      </c>
    </row>
    <row r="34" spans="2:3" x14ac:dyDescent="0.45">
      <c r="B34" s="109">
        <f>Input!C19</f>
        <v>70</v>
      </c>
      <c r="C34" s="56">
        <f t="shared" si="0"/>
        <v>-14.399531419945689</v>
      </c>
    </row>
    <row r="35" spans="2:3" x14ac:dyDescent="0.45">
      <c r="B35" s="109">
        <f>Input!C20</f>
        <v>75</v>
      </c>
      <c r="C35" s="56">
        <f t="shared" si="0"/>
        <v>-11.399531419945689</v>
      </c>
    </row>
    <row r="36" spans="2:3" x14ac:dyDescent="0.45">
      <c r="B36" s="109">
        <f>Input!C21</f>
        <v>80</v>
      </c>
      <c r="C36" s="56">
        <f t="shared" si="0"/>
        <v>-6.3995314199456885</v>
      </c>
    </row>
    <row r="37" spans="2:3" x14ac:dyDescent="0.45">
      <c r="B37" s="109">
        <f>Input!C22</f>
        <v>85</v>
      </c>
      <c r="C37" s="56">
        <f t="shared" si="0"/>
        <v>-1.3995314199456885</v>
      </c>
    </row>
    <row r="38" spans="2:3" x14ac:dyDescent="0.45">
      <c r="B38" s="109">
        <f>Input!C23</f>
        <v>90</v>
      </c>
      <c r="C38" s="56">
        <f t="shared" si="0"/>
        <v>3.6004685800543115</v>
      </c>
    </row>
    <row r="39" spans="2:3" x14ac:dyDescent="0.45">
      <c r="B39" s="109">
        <f>Input!C24</f>
        <v>95</v>
      </c>
      <c r="C39" s="56">
        <f t="shared" si="0"/>
        <v>8.6004685800543115</v>
      </c>
    </row>
    <row r="40" spans="2:3" x14ac:dyDescent="0.45">
      <c r="B40" s="109">
        <f>Input!C25</f>
        <v>100</v>
      </c>
      <c r="C40" s="56">
        <f t="shared" si="0"/>
        <v>13.600468580054311</v>
      </c>
    </row>
    <row r="41" spans="2:3" x14ac:dyDescent="0.45">
      <c r="B41" s="109">
        <f>Input!C26</f>
        <v>105</v>
      </c>
      <c r="C41" s="56">
        <f t="shared" si="0"/>
        <v>18.600468580054311</v>
      </c>
    </row>
    <row r="42" spans="2:3" x14ac:dyDescent="0.45">
      <c r="B42" s="109">
        <f>Input!C27</f>
        <v>110</v>
      </c>
      <c r="C42" s="56">
        <f t="shared" si="0"/>
        <v>23.600468580054311</v>
      </c>
    </row>
    <row r="43" spans="2:3" x14ac:dyDescent="0.45">
      <c r="B43" s="109">
        <f>Input!C28</f>
        <v>115</v>
      </c>
      <c r="C43" s="56">
        <f t="shared" si="0"/>
        <v>28.600468580054311</v>
      </c>
    </row>
    <row r="44" spans="2:3" x14ac:dyDescent="0.45">
      <c r="B44" s="109">
        <f>Input!C29</f>
        <v>120</v>
      </c>
      <c r="C44" s="56">
        <f t="shared" si="0"/>
        <v>33.600468580054311</v>
      </c>
    </row>
    <row r="45" spans="2:3" x14ac:dyDescent="0.45">
      <c r="B45" s="109">
        <f>Input!C30</f>
        <v>125</v>
      </c>
      <c r="C45" s="56">
        <f t="shared" si="0"/>
        <v>38.600468580054311</v>
      </c>
    </row>
    <row r="46" spans="2:3" x14ac:dyDescent="0.45">
      <c r="B46" s="109">
        <f>Input!C31</f>
        <v>130</v>
      </c>
      <c r="C46" s="56">
        <f t="shared" si="0"/>
        <v>43.600468580054311</v>
      </c>
    </row>
    <row r="47" spans="2:3" x14ac:dyDescent="0.45">
      <c r="B47" s="109">
        <f>Input!C32</f>
        <v>135</v>
      </c>
      <c r="C47" s="56">
        <f t="shared" si="0"/>
        <v>48.600468580054311</v>
      </c>
    </row>
    <row r="48" spans="2:3" x14ac:dyDescent="0.45">
      <c r="B48" s="110">
        <f>Input!C33</f>
        <v>140</v>
      </c>
      <c r="C48" s="57">
        <f t="shared" si="0"/>
        <v>53.600468580054304</v>
      </c>
    </row>
    <row r="50" spans="2:3" x14ac:dyDescent="0.45">
      <c r="B50" s="296" t="s">
        <v>262</v>
      </c>
      <c r="C50" s="297">
        <f>-C7-C10</f>
        <v>-18.399531419945689</v>
      </c>
    </row>
  </sheetData>
  <conditionalFormatting sqref="A1:XFD4 A5:B5 D5:XFD5 A6:XFD11 A49:XFD49 A12:A48 D12:XFD48 B19:C48 A51:XFD1048576 A50 D50:XFD50">
    <cfRule type="containsBlanks" dxfId="266" priority="6">
      <formula>LEN(TRIM(A1))=0</formula>
    </cfRule>
  </conditionalFormatting>
  <conditionalFormatting sqref="B12:C18">
    <cfRule type="containsBlanks" dxfId="265" priority="5">
      <formula>LEN(TRIM(B12))=0</formula>
    </cfRule>
  </conditionalFormatting>
  <conditionalFormatting sqref="B50">
    <cfRule type="containsBlanks" dxfId="264" priority="2">
      <formula>LEN(TRIM(B50))=0</formula>
    </cfRule>
  </conditionalFormatting>
  <conditionalFormatting sqref="C50">
    <cfRule type="containsBlanks" dxfId="263" priority="1">
      <formula>LEN(TRIM(C50))=0</formula>
    </cfRule>
  </conditionalFormatting>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8EA70-49FC-48E2-B023-A7443F7C889B}">
  <sheetPr>
    <tabColor theme="5" tint="0.39997558519241921"/>
  </sheetPr>
  <dimension ref="B2:AG112"/>
  <sheetViews>
    <sheetView zoomScale="85" zoomScaleNormal="85" workbookViewId="0">
      <selection activeCell="E14" sqref="E14"/>
    </sheetView>
  </sheetViews>
  <sheetFormatPr baseColWidth="10" defaultColWidth="9.1328125" defaultRowHeight="14.25" x14ac:dyDescent="0.45"/>
  <cols>
    <col min="1" max="1" width="5.1328125" customWidth="1"/>
    <col min="2" max="2" width="27.86328125" customWidth="1"/>
    <col min="3" max="3" width="8.86328125" customWidth="1"/>
    <col min="4" max="4" width="10.796875" customWidth="1"/>
    <col min="5" max="5" width="20.265625" bestFit="1" customWidth="1"/>
    <col min="6" max="6" width="9.46484375" bestFit="1" customWidth="1"/>
    <col min="7" max="7" width="15.19921875" customWidth="1"/>
    <col min="8" max="8" width="8.73046875" bestFit="1" customWidth="1"/>
    <col min="9" max="9" width="19.59765625" bestFit="1" customWidth="1"/>
    <col min="10" max="10" width="9" bestFit="1" customWidth="1"/>
    <col min="11" max="11" width="18.1328125" bestFit="1" customWidth="1"/>
    <col min="12" max="12" width="15.19921875" bestFit="1" customWidth="1"/>
    <col min="13" max="13" width="22.46484375" bestFit="1" customWidth="1"/>
    <col min="14" max="14" width="12.19921875" bestFit="1" customWidth="1"/>
    <col min="15" max="15" width="19.3984375" bestFit="1" customWidth="1"/>
    <col min="16" max="16" width="13.796875" bestFit="1" customWidth="1"/>
    <col min="17" max="17" width="20" bestFit="1" customWidth="1"/>
    <col min="18" max="18" width="13.33203125" bestFit="1" customWidth="1"/>
    <col min="19" max="19" width="20.59765625" bestFit="1" customWidth="1"/>
    <col min="20" max="20" width="13.1328125" bestFit="1" customWidth="1"/>
    <col min="21" max="21" width="22.46484375" bestFit="1" customWidth="1"/>
    <col min="22" max="22" width="13.53125" bestFit="1" customWidth="1"/>
    <col min="23" max="23" width="20.796875" bestFit="1" customWidth="1"/>
    <col min="25" max="25" width="17.86328125" bestFit="1" customWidth="1"/>
    <col min="27" max="27" width="20.53125" bestFit="1" customWidth="1"/>
    <col min="28" max="28" width="12.19921875" bestFit="1" customWidth="1"/>
    <col min="29" max="29" width="19.3984375" bestFit="1" customWidth="1"/>
    <col min="31" max="31" width="21.19921875" bestFit="1" customWidth="1"/>
    <col min="33" max="33" width="19.59765625" bestFit="1" customWidth="1"/>
    <col min="41" max="41" width="15.06640625" bestFit="1" customWidth="1"/>
  </cols>
  <sheetData>
    <row r="2" spans="2:33" ht="25.5" x14ac:dyDescent="0.75">
      <c r="B2" s="174" t="s">
        <v>162</v>
      </c>
    </row>
    <row r="4" spans="2:33" ht="14.65" thickBot="1" x14ac:dyDescent="0.5">
      <c r="B4" s="164" t="s">
        <v>137</v>
      </c>
      <c r="C4" s="169"/>
      <c r="D4" s="170"/>
      <c r="E4" s="165">
        <f>Input!C74</f>
        <v>0</v>
      </c>
      <c r="F4" s="125">
        <f>Input!D74</f>
        <v>30</v>
      </c>
    </row>
    <row r="5" spans="2:33" ht="14.65" thickBot="1" x14ac:dyDescent="0.5">
      <c r="B5" s="166" t="s">
        <v>138</v>
      </c>
      <c r="C5" s="157"/>
      <c r="D5" s="158"/>
      <c r="E5" s="121">
        <f>Input!C75</f>
        <v>30</v>
      </c>
      <c r="F5" s="162">
        <f>Input!D75</f>
        <v>55</v>
      </c>
    </row>
    <row r="6" spans="2:33" ht="14.65" thickBot="1" x14ac:dyDescent="0.5">
      <c r="B6" s="166" t="s">
        <v>136</v>
      </c>
      <c r="C6" s="157"/>
      <c r="D6" s="158"/>
      <c r="E6" s="121">
        <f>Input!C76</f>
        <v>55</v>
      </c>
      <c r="F6" s="162">
        <f>Input!D76</f>
        <v>85</v>
      </c>
    </row>
    <row r="7" spans="2:33" ht="14.65" thickBot="1" x14ac:dyDescent="0.5">
      <c r="B7" s="166" t="s">
        <v>135</v>
      </c>
      <c r="C7" s="157"/>
      <c r="D7" s="158"/>
      <c r="E7" s="121">
        <f>Input!C77</f>
        <v>85</v>
      </c>
      <c r="F7" s="162">
        <f>Input!D77</f>
        <v>110</v>
      </c>
    </row>
    <row r="8" spans="2:33" x14ac:dyDescent="0.45">
      <c r="B8" s="167" t="s">
        <v>134</v>
      </c>
      <c r="C8" s="171"/>
      <c r="D8" s="172"/>
      <c r="E8" s="168">
        <f>Input!C78</f>
        <v>110</v>
      </c>
      <c r="F8" s="163">
        <f>Input!D78</f>
        <v>140</v>
      </c>
    </row>
    <row r="10" spans="2:33" ht="18" x14ac:dyDescent="0.55000000000000004">
      <c r="B10" s="72" t="s">
        <v>266</v>
      </c>
    </row>
    <row r="12" spans="2:33" ht="14.65" thickBot="1" x14ac:dyDescent="0.5"/>
    <row r="13" spans="2:33" ht="39.4" x14ac:dyDescent="0.45">
      <c r="B13" s="32" t="s">
        <v>106</v>
      </c>
      <c r="D13" s="32" t="s">
        <v>140</v>
      </c>
      <c r="E13" s="32" t="str">
        <f>D13 &amp; " Average"</f>
        <v>Long Call Average</v>
      </c>
      <c r="F13" s="32" t="s">
        <v>141</v>
      </c>
      <c r="G13" s="32" t="str">
        <f>F13 &amp; " Average"</f>
        <v>Short Call Average</v>
      </c>
      <c r="H13" s="32" t="s">
        <v>21</v>
      </c>
      <c r="I13" s="32" t="str">
        <f>H13 &amp; " Average"</f>
        <v>Long Put Average</v>
      </c>
      <c r="J13" s="32" t="s">
        <v>142</v>
      </c>
      <c r="K13" s="32" t="str">
        <f>J13 &amp; " Average"</f>
        <v>Short Put Average</v>
      </c>
      <c r="L13" s="32" t="str">
        <f>'8-9'!B3</f>
        <v>Covered Call OTM</v>
      </c>
      <c r="M13" s="32" t="str">
        <f>L13 &amp; " Average"</f>
        <v>Covered Call OTM Average</v>
      </c>
      <c r="N13" s="32" t="str">
        <f>'10-11'!$B$3</f>
        <v>Protective Put</v>
      </c>
      <c r="O13" s="32" t="str">
        <f>N13 &amp; " Average"</f>
        <v>Protective Put Average</v>
      </c>
      <c r="P13" s="32" t="str">
        <f>'12-13'!$B$3</f>
        <v>Collar Strategy</v>
      </c>
      <c r="Q13" s="32" t="str">
        <f>P13 &amp; " Average"</f>
        <v>Collar Strategy Average</v>
      </c>
      <c r="R13" s="32" t="str">
        <f>'14-15'!$B$3</f>
        <v>Bull Call Spread</v>
      </c>
      <c r="S13" s="32" t="str">
        <f>R13 &amp; " Average"</f>
        <v>Bull Call Spread Average</v>
      </c>
      <c r="T13" s="32" t="str">
        <f>'16-17'!$B$3</f>
        <v>Bull Put Spread</v>
      </c>
      <c r="U13" s="32" t="str">
        <f>T13 &amp; " Average"</f>
        <v>Bull Put Spread Average</v>
      </c>
      <c r="V13" s="32" t="str">
        <f>'18-19'!$B$3</f>
        <v>Call Backspread</v>
      </c>
      <c r="W13" s="32" t="str">
        <f>V13 &amp; " Average"</f>
        <v>Call Backspread Average</v>
      </c>
      <c r="X13" s="32" t="str">
        <f>'20'!$B$3</f>
        <v>Covered Put</v>
      </c>
      <c r="Y13" s="32" t="str">
        <f>X13 &amp; " Average"</f>
        <v>Covered Put Average</v>
      </c>
      <c r="Z13" s="32" t="str">
        <f>'21'!$B$3</f>
        <v>Put Backspread</v>
      </c>
      <c r="AA13" s="32" t="str">
        <f>Z13 &amp; " Average"</f>
        <v>Put Backspread Average</v>
      </c>
      <c r="AB13" s="32" t="str">
        <f>'22'!$B$3</f>
        <v>Bear Put Spread</v>
      </c>
      <c r="AC13" s="32" t="str">
        <f>AB13 &amp; " Average"</f>
        <v>Bear Put Spread Average</v>
      </c>
      <c r="AD13" s="32" t="str">
        <f>'23'!$B$3</f>
        <v>Bear Call Spread</v>
      </c>
      <c r="AE13" s="32" t="str">
        <f>AD13 &amp; " Average"</f>
        <v>Bear Call Spread Average</v>
      </c>
      <c r="AF13" s="32" t="str">
        <f>'24'!$B$3</f>
        <v>Protective Call</v>
      </c>
      <c r="AG13" s="175" t="str">
        <f>AF13 &amp; " Average"</f>
        <v>Protective Call Average</v>
      </c>
    </row>
    <row r="14" spans="2:33" x14ac:dyDescent="0.45">
      <c r="B14" s="114">
        <f>Input!C5</f>
        <v>0</v>
      </c>
      <c r="D14" s="176">
        <f>'3'!C20</f>
        <v>-7.6746297338894109</v>
      </c>
      <c r="E14" s="42">
        <f>AVERAGE(D14:D20)</f>
        <v>-7.6746297338894109</v>
      </c>
      <c r="F14" s="124">
        <f>'4'!C20</f>
        <v>7.6746297338894109</v>
      </c>
      <c r="G14" s="42">
        <f>AVERAGE(F14:F20)</f>
        <v>7.6746297338894109</v>
      </c>
      <c r="H14" s="124">
        <f>'5'!C20</f>
        <v>61.275098313943722</v>
      </c>
      <c r="I14" s="42">
        <f>AVERAGE(H14:H20)</f>
        <v>46.275098313943722</v>
      </c>
      <c r="J14" s="124">
        <f>'6'!C20</f>
        <v>-61.275098313943722</v>
      </c>
      <c r="K14" s="42">
        <f>AVERAGE(J14:J20)</f>
        <v>-46.275098313943722</v>
      </c>
      <c r="L14" s="124">
        <f>'8-9'!$C20</f>
        <v>-63.872672592475396</v>
      </c>
      <c r="M14" s="42">
        <f>AVERAGE(L14:L20)</f>
        <v>-48.872672592475396</v>
      </c>
      <c r="N14" s="124">
        <f>'10-11'!$C20</f>
        <v>-9.4822794113231978</v>
      </c>
      <c r="O14" s="42">
        <f>AVERAGE(N14:N20)</f>
        <v>-9.4822794113231996</v>
      </c>
      <c r="P14" s="124">
        <f>'12-13'!$C20</f>
        <v>-4.184677269899808</v>
      </c>
      <c r="Q14" s="42">
        <f>AVERAGE(P14:P20)</f>
        <v>-4.1846772698998072</v>
      </c>
      <c r="R14" s="124">
        <f>'14-15'!$C20</f>
        <v>-1.5473023263648074</v>
      </c>
      <c r="S14" s="42">
        <f>AVERAGE(R14:R20)</f>
        <v>-1.5473023263648074</v>
      </c>
      <c r="T14" s="124">
        <f>'16-17'!$C20</f>
        <v>-1.587102991368134</v>
      </c>
      <c r="U14" s="42">
        <f>AVERAGE(T14:T20)</f>
        <v>-1.5871029913681336</v>
      </c>
      <c r="V14" s="124">
        <f>'18-19'!$C20</f>
        <v>-4.5800250811597962</v>
      </c>
      <c r="W14" s="42">
        <f>AVERAGE(V14:V20)</f>
        <v>-4.5800250811597962</v>
      </c>
      <c r="X14" s="124">
        <f>'20'!$C20</f>
        <v>9.4822794113231978</v>
      </c>
      <c r="Y14" s="42">
        <f>AVERAGE(X14:X20)</f>
        <v>9.4822794113231996</v>
      </c>
      <c r="Z14" s="124">
        <f>'21'!$C20</f>
        <v>58.100892331207454</v>
      </c>
      <c r="AA14" s="42">
        <f>AVERAGE(Z14:Z20)</f>
        <v>43.100892331207447</v>
      </c>
      <c r="AB14" s="124">
        <f>'22'!$C20</f>
        <v>1.587102991368134</v>
      </c>
      <c r="AC14" s="42">
        <f>AVERAGE(AB14:AB20)</f>
        <v>1.5871029913681336</v>
      </c>
      <c r="AD14" s="124">
        <f>'23'!$C20</f>
        <v>1.5473023263648074</v>
      </c>
      <c r="AE14" s="42">
        <f>AVERAGE(AD14:AD20)</f>
        <v>1.5473023263648074</v>
      </c>
      <c r="AF14" s="124">
        <f>'24'!$C20</f>
        <v>63.135195199710125</v>
      </c>
      <c r="AG14" s="177">
        <f>AVERAGE(AF14:AF20)</f>
        <v>48.135195199710111</v>
      </c>
    </row>
    <row r="15" spans="2:33" x14ac:dyDescent="0.45">
      <c r="B15" s="114">
        <f>Input!C6</f>
        <v>5</v>
      </c>
      <c r="D15" s="176">
        <f>'3'!C21</f>
        <v>-7.6746297338894109</v>
      </c>
      <c r="E15" s="50"/>
      <c r="F15" s="124">
        <f>'4'!C21</f>
        <v>7.6746297338894109</v>
      </c>
      <c r="G15" s="50"/>
      <c r="H15" s="124">
        <f>'5'!C21</f>
        <v>56.275098313943722</v>
      </c>
      <c r="I15" s="50"/>
      <c r="J15" s="124">
        <f>'6'!C21</f>
        <v>-56.275098313943722</v>
      </c>
      <c r="K15" s="50"/>
      <c r="L15" s="124">
        <f>'8-9'!C21</f>
        <v>-58.872672592475396</v>
      </c>
      <c r="M15" s="50"/>
      <c r="N15" s="124">
        <f>'10-11'!$C21</f>
        <v>-9.4822794113231978</v>
      </c>
      <c r="O15" s="50"/>
      <c r="P15" s="124">
        <f>'12-13'!$C21</f>
        <v>-4.184677269899808</v>
      </c>
      <c r="Q15" s="50"/>
      <c r="R15" s="124">
        <f>'14-15'!$C21</f>
        <v>-1.5473023263648074</v>
      </c>
      <c r="S15" s="50"/>
      <c r="T15" s="124">
        <f>'16-17'!$C21</f>
        <v>-1.587102991368134</v>
      </c>
      <c r="U15" s="50"/>
      <c r="V15" s="124">
        <f>'18-19'!$C21</f>
        <v>-4.5800250811597962</v>
      </c>
      <c r="W15" s="50"/>
      <c r="X15" s="124">
        <f>'20'!$C21</f>
        <v>9.4822794113231978</v>
      </c>
      <c r="Y15" s="50"/>
      <c r="Z15" s="124">
        <f>'21'!$C21</f>
        <v>53.100892331207454</v>
      </c>
      <c r="AA15" s="50"/>
      <c r="AB15" s="124">
        <f>'22'!$C21</f>
        <v>1.587102991368134</v>
      </c>
      <c r="AC15" s="50"/>
      <c r="AD15" s="124">
        <f>'23'!$C21</f>
        <v>1.5473023263648074</v>
      </c>
      <c r="AE15" s="50"/>
      <c r="AF15" s="124">
        <f>'24'!$C21</f>
        <v>58.135195199710125</v>
      </c>
      <c r="AG15" s="178"/>
    </row>
    <row r="16" spans="2:33" x14ac:dyDescent="0.45">
      <c r="B16" s="114">
        <f>Input!C7</f>
        <v>10</v>
      </c>
      <c r="D16" s="176">
        <f>'3'!C22</f>
        <v>-7.6746297338894109</v>
      </c>
      <c r="E16" s="50"/>
      <c r="F16" s="124">
        <f>'4'!C22</f>
        <v>7.6746297338894109</v>
      </c>
      <c r="G16" s="50"/>
      <c r="H16" s="124">
        <f>'5'!C22</f>
        <v>51.275098313943722</v>
      </c>
      <c r="I16" s="50"/>
      <c r="J16" s="124">
        <f>'6'!C22</f>
        <v>-51.275098313943722</v>
      </c>
      <c r="K16" s="50"/>
      <c r="L16" s="124">
        <f>'8-9'!C22</f>
        <v>-53.872672592475396</v>
      </c>
      <c r="M16" s="50"/>
      <c r="N16" s="124">
        <f>'10-11'!$C22</f>
        <v>-9.4822794113231978</v>
      </c>
      <c r="O16" s="50"/>
      <c r="P16" s="124">
        <f>'12-13'!$C22</f>
        <v>-4.184677269899808</v>
      </c>
      <c r="Q16" s="50"/>
      <c r="R16" s="124">
        <f>'14-15'!$C22</f>
        <v>-1.5473023263648074</v>
      </c>
      <c r="S16" s="50"/>
      <c r="T16" s="124">
        <f>'16-17'!$C22</f>
        <v>-1.587102991368134</v>
      </c>
      <c r="U16" s="50"/>
      <c r="V16" s="124">
        <f>'18-19'!$C22</f>
        <v>-4.5800250811597962</v>
      </c>
      <c r="W16" s="50"/>
      <c r="X16" s="124">
        <f>'20'!$C22</f>
        <v>9.4822794113231978</v>
      </c>
      <c r="Y16" s="50"/>
      <c r="Z16" s="124">
        <f>'21'!$C22</f>
        <v>48.100892331207454</v>
      </c>
      <c r="AA16" s="50"/>
      <c r="AB16" s="124">
        <f>'22'!$C22</f>
        <v>1.587102991368134</v>
      </c>
      <c r="AC16" s="50"/>
      <c r="AD16" s="124">
        <f>'23'!$C22</f>
        <v>1.5473023263648074</v>
      </c>
      <c r="AE16" s="50"/>
      <c r="AF16" s="124">
        <f>'24'!$C22</f>
        <v>53.135195199710125</v>
      </c>
      <c r="AG16" s="178"/>
    </row>
    <row r="17" spans="2:33" x14ac:dyDescent="0.45">
      <c r="B17" s="114">
        <f>Input!C8</f>
        <v>15</v>
      </c>
      <c r="D17" s="176">
        <f>'3'!C23</f>
        <v>-7.6746297338894109</v>
      </c>
      <c r="E17" s="50"/>
      <c r="F17" s="124">
        <f>'4'!C23</f>
        <v>7.6746297338894109</v>
      </c>
      <c r="G17" s="50"/>
      <c r="H17" s="124">
        <f>'5'!C23</f>
        <v>46.275098313943722</v>
      </c>
      <c r="I17" s="50"/>
      <c r="J17" s="124">
        <f>'6'!C23</f>
        <v>-46.275098313943722</v>
      </c>
      <c r="K17" s="50"/>
      <c r="L17" s="124">
        <f>'8-9'!C23</f>
        <v>-48.872672592475396</v>
      </c>
      <c r="M17" s="50"/>
      <c r="N17" s="124">
        <f>'10-11'!$C23</f>
        <v>-9.4822794113231978</v>
      </c>
      <c r="O17" s="50"/>
      <c r="P17" s="124">
        <f>'12-13'!$C23</f>
        <v>-4.184677269899808</v>
      </c>
      <c r="Q17" s="50"/>
      <c r="R17" s="124">
        <f>'14-15'!$C23</f>
        <v>-1.5473023263648074</v>
      </c>
      <c r="S17" s="50"/>
      <c r="T17" s="124">
        <f>'16-17'!$C23</f>
        <v>-1.587102991368134</v>
      </c>
      <c r="U17" s="50"/>
      <c r="V17" s="124">
        <f>'18-19'!$C23</f>
        <v>-4.5800250811597962</v>
      </c>
      <c r="W17" s="50"/>
      <c r="X17" s="124">
        <f>'20'!$C23</f>
        <v>9.4822794113231978</v>
      </c>
      <c r="Y17" s="50"/>
      <c r="Z17" s="124">
        <f>'21'!$C23</f>
        <v>43.100892331207454</v>
      </c>
      <c r="AA17" s="50"/>
      <c r="AB17" s="124">
        <f>'22'!$C23</f>
        <v>1.587102991368134</v>
      </c>
      <c r="AC17" s="50"/>
      <c r="AD17" s="124">
        <f>'23'!$C23</f>
        <v>1.5473023263648074</v>
      </c>
      <c r="AE17" s="50"/>
      <c r="AF17" s="124">
        <f>'24'!$C23</f>
        <v>48.135195199710125</v>
      </c>
      <c r="AG17" s="178"/>
    </row>
    <row r="18" spans="2:33" x14ac:dyDescent="0.45">
      <c r="B18" s="114">
        <f>Input!C9</f>
        <v>20</v>
      </c>
      <c r="D18" s="176">
        <f>'3'!C24</f>
        <v>-7.6746297338894109</v>
      </c>
      <c r="E18" s="50"/>
      <c r="F18" s="124">
        <f>'4'!C24</f>
        <v>7.6746297338894109</v>
      </c>
      <c r="G18" s="50"/>
      <c r="H18" s="124">
        <f>'5'!C24</f>
        <v>41.275098313943722</v>
      </c>
      <c r="I18" s="50"/>
      <c r="J18" s="124">
        <f>'6'!C24</f>
        <v>-41.275098313943722</v>
      </c>
      <c r="K18" s="50"/>
      <c r="L18" s="124">
        <f>'8-9'!C24</f>
        <v>-43.872672592475396</v>
      </c>
      <c r="M18" s="50"/>
      <c r="N18" s="124">
        <f>'10-11'!$C24</f>
        <v>-9.4822794113231978</v>
      </c>
      <c r="O18" s="50"/>
      <c r="P18" s="124">
        <f>'12-13'!$C24</f>
        <v>-4.184677269899808</v>
      </c>
      <c r="Q18" s="50"/>
      <c r="R18" s="124">
        <f>'14-15'!$C24</f>
        <v>-1.5473023263648074</v>
      </c>
      <c r="S18" s="50"/>
      <c r="T18" s="124">
        <f>'16-17'!$C24</f>
        <v>-1.587102991368134</v>
      </c>
      <c r="U18" s="50"/>
      <c r="V18" s="124">
        <f>'18-19'!$C24</f>
        <v>-4.5800250811597962</v>
      </c>
      <c r="W18" s="50"/>
      <c r="X18" s="124">
        <f>'20'!$C24</f>
        <v>9.4822794113231978</v>
      </c>
      <c r="Y18" s="50"/>
      <c r="Z18" s="124">
        <f>'21'!$C24</f>
        <v>38.100892331207454</v>
      </c>
      <c r="AA18" s="50"/>
      <c r="AB18" s="124">
        <f>'22'!$C24</f>
        <v>1.587102991368134</v>
      </c>
      <c r="AC18" s="50"/>
      <c r="AD18" s="124">
        <f>'23'!$C24</f>
        <v>1.5473023263648074</v>
      </c>
      <c r="AE18" s="50"/>
      <c r="AF18" s="124">
        <f>'24'!$C24</f>
        <v>43.135195199710125</v>
      </c>
      <c r="AG18" s="178"/>
    </row>
    <row r="19" spans="2:33" x14ac:dyDescent="0.45">
      <c r="B19" s="114">
        <f>Input!C10</f>
        <v>25</v>
      </c>
      <c r="D19" s="176">
        <f>'3'!C25</f>
        <v>-7.6746297338894109</v>
      </c>
      <c r="E19" s="50"/>
      <c r="F19" s="124">
        <f>'4'!C25</f>
        <v>7.6746297338894109</v>
      </c>
      <c r="G19" s="50"/>
      <c r="H19" s="124">
        <f>'5'!C25</f>
        <v>36.275098313943722</v>
      </c>
      <c r="I19" s="50"/>
      <c r="J19" s="124">
        <f>'6'!C25</f>
        <v>-36.275098313943722</v>
      </c>
      <c r="K19" s="50"/>
      <c r="L19" s="124">
        <f>'8-9'!C25</f>
        <v>-38.872672592475396</v>
      </c>
      <c r="M19" s="50"/>
      <c r="N19" s="124">
        <f>'10-11'!$C25</f>
        <v>-9.4822794113231978</v>
      </c>
      <c r="O19" s="50"/>
      <c r="P19" s="124">
        <f>'12-13'!$C25</f>
        <v>-4.184677269899808</v>
      </c>
      <c r="Q19" s="50"/>
      <c r="R19" s="124">
        <f>'14-15'!$C25</f>
        <v>-1.5473023263648074</v>
      </c>
      <c r="S19" s="50"/>
      <c r="T19" s="124">
        <f>'16-17'!$C25</f>
        <v>-1.587102991368134</v>
      </c>
      <c r="U19" s="50"/>
      <c r="V19" s="124">
        <f>'18-19'!$C25</f>
        <v>-4.5800250811597962</v>
      </c>
      <c r="W19" s="50"/>
      <c r="X19" s="124">
        <f>'20'!$C25</f>
        <v>9.4822794113231978</v>
      </c>
      <c r="Y19" s="50"/>
      <c r="Z19" s="124">
        <f>'21'!$C25</f>
        <v>33.100892331207454</v>
      </c>
      <c r="AA19" s="50"/>
      <c r="AB19" s="124">
        <f>'22'!$C25</f>
        <v>1.587102991368134</v>
      </c>
      <c r="AC19" s="50"/>
      <c r="AD19" s="124">
        <f>'23'!$C25</f>
        <v>1.5473023263648074</v>
      </c>
      <c r="AE19" s="50"/>
      <c r="AF19" s="124">
        <f>'24'!$C25</f>
        <v>38.135195199710125</v>
      </c>
      <c r="AG19" s="178"/>
    </row>
    <row r="20" spans="2:33" x14ac:dyDescent="0.45">
      <c r="B20" s="114">
        <f>Input!C11</f>
        <v>30</v>
      </c>
      <c r="D20" s="176">
        <f>'3'!C26</f>
        <v>-7.6746297338894109</v>
      </c>
      <c r="E20" s="41">
        <f>AVERAGE(D20:D25)</f>
        <v>-7.6746297338894109</v>
      </c>
      <c r="F20" s="124">
        <f>'4'!C26</f>
        <v>7.6746297338894109</v>
      </c>
      <c r="G20" s="41">
        <f>AVERAGE(F20:F25)</f>
        <v>7.6746297338894109</v>
      </c>
      <c r="H20" s="124">
        <f>'5'!C26</f>
        <v>31.275098313943722</v>
      </c>
      <c r="I20" s="41">
        <f>AVERAGE(H20:H25)</f>
        <v>18.775098313943719</v>
      </c>
      <c r="J20" s="124">
        <f>'6'!C26</f>
        <v>-31.275098313943722</v>
      </c>
      <c r="K20" s="41">
        <f>AVERAGE(J20:J25)</f>
        <v>-18.775098313943719</v>
      </c>
      <c r="L20" s="124">
        <f>'8-9'!$C26</f>
        <v>-33.872672592475396</v>
      </c>
      <c r="M20" s="41">
        <f>AVERAGE(L20:L25)</f>
        <v>-21.372672592475396</v>
      </c>
      <c r="N20" s="124">
        <f>'10-11'!$C26</f>
        <v>-9.4822794113231978</v>
      </c>
      <c r="O20" s="41">
        <f>AVERAGE(N20:N25)</f>
        <v>-9.4822794113231978</v>
      </c>
      <c r="P20" s="124">
        <f>'12-13'!$C26</f>
        <v>-4.1846772698998045</v>
      </c>
      <c r="Q20" s="41">
        <f>AVERAGE(P20:P25)</f>
        <v>-4.1846772698998045</v>
      </c>
      <c r="R20" s="124">
        <f>'14-15'!$C26</f>
        <v>-1.5473023263648074</v>
      </c>
      <c r="S20" s="41">
        <f>AVERAGE(R20:R25)</f>
        <v>-1.5473023263648074</v>
      </c>
      <c r="T20" s="124">
        <f>'16-17'!$C26</f>
        <v>-1.5871029913681305</v>
      </c>
      <c r="U20" s="41">
        <f>AVERAGE(T20:T25)</f>
        <v>-1.5871029913681305</v>
      </c>
      <c r="V20" s="124">
        <f>'18-19'!$C26</f>
        <v>-4.5800250811597962</v>
      </c>
      <c r="W20" s="41">
        <f>AVERAGE(V20:V25)</f>
        <v>-4.5800250811597962</v>
      </c>
      <c r="X20" s="124">
        <f>'20'!$C26</f>
        <v>9.4822794113231978</v>
      </c>
      <c r="Y20" s="41">
        <f>AVERAGE(X20:X25)</f>
        <v>9.4822794113231978</v>
      </c>
      <c r="Z20" s="124">
        <f>'21'!$C26</f>
        <v>28.100892331207461</v>
      </c>
      <c r="AA20" s="41">
        <f>AVERAGE(Z20:Z25)</f>
        <v>15.600892331207461</v>
      </c>
      <c r="AB20" s="124">
        <f>'22'!$C26</f>
        <v>1.5871029913681305</v>
      </c>
      <c r="AC20" s="41">
        <f>AVERAGE(AB20:AB25)</f>
        <v>1.5871029913681305</v>
      </c>
      <c r="AD20" s="124">
        <f>'23'!$C26</f>
        <v>1.5473023263648074</v>
      </c>
      <c r="AE20" s="41">
        <f>AVERAGE(AD20:AD25)</f>
        <v>1.5473023263648074</v>
      </c>
      <c r="AF20" s="124">
        <f>'24'!$C26</f>
        <v>33.135195199710125</v>
      </c>
      <c r="AG20" s="179">
        <f>AVERAGE(AF20:AF25)</f>
        <v>20.635195199710125</v>
      </c>
    </row>
    <row r="21" spans="2:33" x14ac:dyDescent="0.45">
      <c r="B21" s="114">
        <f>Input!C12</f>
        <v>35</v>
      </c>
      <c r="D21" s="176">
        <f>'3'!C27</f>
        <v>-7.6746297338894109</v>
      </c>
      <c r="E21" s="50"/>
      <c r="F21" s="124">
        <f>'4'!C27</f>
        <v>7.6746297338894109</v>
      </c>
      <c r="G21" s="50"/>
      <c r="H21" s="124">
        <f>'5'!C27</f>
        <v>26.275098313943722</v>
      </c>
      <c r="I21" s="50"/>
      <c r="J21" s="124">
        <f>'6'!C27</f>
        <v>-26.275098313943722</v>
      </c>
      <c r="K21" s="50"/>
      <c r="L21" s="124">
        <f>'8-9'!C27</f>
        <v>-28.872672592475396</v>
      </c>
      <c r="M21" s="50"/>
      <c r="N21" s="124">
        <f>'10-11'!$C27</f>
        <v>-9.4822794113231978</v>
      </c>
      <c r="O21" s="50"/>
      <c r="P21" s="124">
        <f>'12-13'!$C27</f>
        <v>-4.1846772698998045</v>
      </c>
      <c r="Q21" s="50"/>
      <c r="R21" s="124">
        <f>'14-15'!$C27</f>
        <v>-1.5473023263648074</v>
      </c>
      <c r="S21" s="50"/>
      <c r="T21" s="124">
        <f>'16-17'!$C27</f>
        <v>-1.5871029913681305</v>
      </c>
      <c r="U21" s="50"/>
      <c r="V21" s="124">
        <f>'18-19'!$C27</f>
        <v>-4.5800250811597962</v>
      </c>
      <c r="W21" s="50"/>
      <c r="X21" s="124">
        <f>'20'!$C27</f>
        <v>9.4822794113231978</v>
      </c>
      <c r="Y21" s="50"/>
      <c r="Z21" s="124">
        <f>'21'!$C27</f>
        <v>23.100892331207461</v>
      </c>
      <c r="AA21" s="50"/>
      <c r="AB21" s="124">
        <f>'22'!$C27</f>
        <v>1.5871029913681305</v>
      </c>
      <c r="AC21" s="50"/>
      <c r="AD21" s="124">
        <f>'23'!$C27</f>
        <v>1.5473023263648074</v>
      </c>
      <c r="AE21" s="50"/>
      <c r="AF21" s="124">
        <f>'24'!$C27</f>
        <v>28.135195199710129</v>
      </c>
      <c r="AG21" s="178"/>
    </row>
    <row r="22" spans="2:33" x14ac:dyDescent="0.45">
      <c r="B22" s="114">
        <f>Input!C13</f>
        <v>40</v>
      </c>
      <c r="D22" s="176">
        <f>'3'!C28</f>
        <v>-7.6746297338894109</v>
      </c>
      <c r="E22" s="50"/>
      <c r="F22" s="124">
        <f>'4'!C28</f>
        <v>7.6746297338894109</v>
      </c>
      <c r="G22" s="50"/>
      <c r="H22" s="124">
        <f>'5'!C28</f>
        <v>21.275098313943722</v>
      </c>
      <c r="I22" s="50"/>
      <c r="J22" s="124">
        <f>'6'!C28</f>
        <v>-21.275098313943722</v>
      </c>
      <c r="K22" s="50"/>
      <c r="L22" s="124">
        <f>'8-9'!C28</f>
        <v>-23.872672592475396</v>
      </c>
      <c r="M22" s="50"/>
      <c r="N22" s="124">
        <f>'10-11'!$C28</f>
        <v>-9.4822794113231978</v>
      </c>
      <c r="O22" s="50"/>
      <c r="P22" s="124">
        <f>'12-13'!$C28</f>
        <v>-4.1846772698998045</v>
      </c>
      <c r="Q22" s="50"/>
      <c r="R22" s="124">
        <f>'14-15'!$C28</f>
        <v>-1.5473023263648074</v>
      </c>
      <c r="S22" s="50"/>
      <c r="T22" s="124">
        <f>'16-17'!$C28</f>
        <v>-1.5871029913681305</v>
      </c>
      <c r="U22" s="50"/>
      <c r="V22" s="124">
        <f>'18-19'!$C28</f>
        <v>-4.5800250811597962</v>
      </c>
      <c r="W22" s="50"/>
      <c r="X22" s="124">
        <f>'20'!$C28</f>
        <v>9.4822794113231978</v>
      </c>
      <c r="Y22" s="50"/>
      <c r="Z22" s="124">
        <f>'21'!$C28</f>
        <v>18.100892331207461</v>
      </c>
      <c r="AA22" s="50"/>
      <c r="AB22" s="124">
        <f>'22'!$C28</f>
        <v>1.5871029913681305</v>
      </c>
      <c r="AC22" s="50"/>
      <c r="AD22" s="124">
        <f>'23'!$C28</f>
        <v>1.5473023263648074</v>
      </c>
      <c r="AE22" s="50"/>
      <c r="AF22" s="124">
        <f>'24'!$C28</f>
        <v>23.135195199710129</v>
      </c>
      <c r="AG22" s="178"/>
    </row>
    <row r="23" spans="2:33" x14ac:dyDescent="0.45">
      <c r="B23" s="114">
        <f>Input!C14</f>
        <v>45</v>
      </c>
      <c r="D23" s="176">
        <f>'3'!C29</f>
        <v>-7.6746297338894109</v>
      </c>
      <c r="E23" s="50"/>
      <c r="F23" s="124">
        <f>'4'!C29</f>
        <v>7.6746297338894109</v>
      </c>
      <c r="G23" s="50"/>
      <c r="H23" s="124">
        <f>'5'!C29</f>
        <v>16.275098313943722</v>
      </c>
      <c r="I23" s="50"/>
      <c r="J23" s="124">
        <f>'6'!C29</f>
        <v>-16.275098313943722</v>
      </c>
      <c r="K23" s="50"/>
      <c r="L23" s="124">
        <f>'8-9'!C29</f>
        <v>-18.872672592475396</v>
      </c>
      <c r="M23" s="50"/>
      <c r="N23" s="124">
        <f>'10-11'!$C29</f>
        <v>-9.4822794113231978</v>
      </c>
      <c r="O23" s="50"/>
      <c r="P23" s="124">
        <f>'12-13'!$C29</f>
        <v>-4.1846772698998045</v>
      </c>
      <c r="Q23" s="50"/>
      <c r="R23" s="124">
        <f>'14-15'!$C29</f>
        <v>-1.5473023263648074</v>
      </c>
      <c r="S23" s="50"/>
      <c r="T23" s="124">
        <f>'16-17'!$C29</f>
        <v>-1.5871029913681305</v>
      </c>
      <c r="U23" s="50"/>
      <c r="V23" s="124">
        <f>'18-19'!$C29</f>
        <v>-4.5800250811597962</v>
      </c>
      <c r="W23" s="50"/>
      <c r="X23" s="124">
        <f>'20'!$C29</f>
        <v>9.4822794113231978</v>
      </c>
      <c r="Y23" s="50"/>
      <c r="Z23" s="124">
        <f>'21'!$C29</f>
        <v>13.100892331207461</v>
      </c>
      <c r="AA23" s="50"/>
      <c r="AB23" s="124">
        <f>'22'!$C29</f>
        <v>1.5871029913681305</v>
      </c>
      <c r="AC23" s="50"/>
      <c r="AD23" s="124">
        <f>'23'!$C29</f>
        <v>1.5473023263648074</v>
      </c>
      <c r="AE23" s="50"/>
      <c r="AF23" s="124">
        <f>'24'!$C29</f>
        <v>18.135195199710129</v>
      </c>
      <c r="AG23" s="178"/>
    </row>
    <row r="24" spans="2:33" x14ac:dyDescent="0.45">
      <c r="B24" s="114">
        <f>Input!C15</f>
        <v>50</v>
      </c>
      <c r="D24" s="176">
        <f>'3'!C30</f>
        <v>-7.6746297338894109</v>
      </c>
      <c r="E24" s="50"/>
      <c r="F24" s="124">
        <f>'4'!C30</f>
        <v>7.6746297338894109</v>
      </c>
      <c r="G24" s="50"/>
      <c r="H24" s="124">
        <f>'5'!C30</f>
        <v>11.275098313943722</v>
      </c>
      <c r="I24" s="50"/>
      <c r="J24" s="124">
        <f>'6'!C30</f>
        <v>-11.275098313943722</v>
      </c>
      <c r="K24" s="50"/>
      <c r="L24" s="124">
        <f>'8-9'!C30</f>
        <v>-13.872672592475396</v>
      </c>
      <c r="M24" s="50"/>
      <c r="N24" s="124">
        <f>'10-11'!$C30</f>
        <v>-9.4822794113231978</v>
      </c>
      <c r="O24" s="50"/>
      <c r="P24" s="124">
        <f>'12-13'!$C30</f>
        <v>-4.1846772698998045</v>
      </c>
      <c r="Q24" s="50"/>
      <c r="R24" s="124">
        <f>'14-15'!$C30</f>
        <v>-1.5473023263648074</v>
      </c>
      <c r="S24" s="50"/>
      <c r="T24" s="124">
        <f>'16-17'!$C30</f>
        <v>-1.5871029913681305</v>
      </c>
      <c r="U24" s="50"/>
      <c r="V24" s="124">
        <f>'18-19'!$C30</f>
        <v>-4.5800250811597962</v>
      </c>
      <c r="W24" s="50"/>
      <c r="X24" s="124">
        <f>'20'!$C30</f>
        <v>9.4822794113231978</v>
      </c>
      <c r="Y24" s="50"/>
      <c r="Z24" s="124">
        <f>'21'!$C30</f>
        <v>8.1008923312074614</v>
      </c>
      <c r="AA24" s="50"/>
      <c r="AB24" s="124">
        <f>'22'!$C30</f>
        <v>1.5871029913681305</v>
      </c>
      <c r="AC24" s="50"/>
      <c r="AD24" s="124">
        <f>'23'!$C30</f>
        <v>1.5473023263648074</v>
      </c>
      <c r="AE24" s="50"/>
      <c r="AF24" s="124">
        <f>'24'!$C30</f>
        <v>13.135195199710129</v>
      </c>
      <c r="AG24" s="178"/>
    </row>
    <row r="25" spans="2:33" x14ac:dyDescent="0.45">
      <c r="B25" s="114">
        <f>Input!C16</f>
        <v>55</v>
      </c>
      <c r="D25" s="176">
        <f>'3'!C31</f>
        <v>-7.6746297338894109</v>
      </c>
      <c r="E25" s="40">
        <f>AVERAGE(D25:D31)</f>
        <v>-2.2460583053179826</v>
      </c>
      <c r="F25" s="124">
        <f>'4'!C31</f>
        <v>7.6746297338894109</v>
      </c>
      <c r="G25" s="40">
        <f>AVERAGE(F25:F31)</f>
        <v>2.2460583053179826</v>
      </c>
      <c r="H25" s="124">
        <f>'5'!C31</f>
        <v>6.2750983139437224</v>
      </c>
      <c r="I25" s="40">
        <f>AVERAGE(H25:H31)</f>
        <v>-5.2963302574848488</v>
      </c>
      <c r="J25" s="124">
        <f>'6'!C31</f>
        <v>-6.2750983139437224</v>
      </c>
      <c r="K25" s="40">
        <f>AVERAGE(J25:J31)</f>
        <v>5.2963302574848488</v>
      </c>
      <c r="L25" s="124">
        <f>'8-9'!C31</f>
        <v>-8.8726725924753964</v>
      </c>
      <c r="M25" s="40">
        <f>AVERAGE(L25:L31)</f>
        <v>2.6987559789531752</v>
      </c>
      <c r="N25" s="124">
        <f>'10-11'!$C31</f>
        <v>-9.4822794113231978</v>
      </c>
      <c r="O25" s="40">
        <f>AVERAGE(N25:N31)</f>
        <v>-5.1965651256089123</v>
      </c>
      <c r="P25" s="124">
        <f>'12-13'!$C31</f>
        <v>-4.1846772698998045</v>
      </c>
      <c r="Q25" s="40">
        <f>AVERAGE(P25:P31)</f>
        <v>-2.1846772698998045</v>
      </c>
      <c r="R25" s="124">
        <f>'14-15'!$C31</f>
        <v>-1.5473023263648074</v>
      </c>
      <c r="S25" s="40">
        <f>AVERAGE(R25:R31)</f>
        <v>0.45269767363519264</v>
      </c>
      <c r="T25" s="124">
        <f>'16-17'!$C31</f>
        <v>-1.5871029913681305</v>
      </c>
      <c r="U25" s="40">
        <f>AVERAGE(T25:T31)</f>
        <v>0.41289700863186951</v>
      </c>
      <c r="V25" s="124">
        <f>'18-19'!$C31</f>
        <v>-4.5800250811597962</v>
      </c>
      <c r="W25" s="40">
        <f>AVERAGE(V25:V31)</f>
        <v>-3.1514536525883678</v>
      </c>
      <c r="X25" s="124">
        <f>'20'!$C31</f>
        <v>9.4822794113231978</v>
      </c>
      <c r="Y25" s="40">
        <f>AVERAGE(X25:X31)</f>
        <v>5.1965651256089123</v>
      </c>
      <c r="Z25" s="124">
        <f>'21'!$C31</f>
        <v>3.1008923312074614</v>
      </c>
      <c r="AA25" s="40">
        <f>AVERAGE(Z25:Z31)</f>
        <v>-4.4705362402211097</v>
      </c>
      <c r="AB25" s="124">
        <f>'22'!$C31</f>
        <v>1.5871029913681305</v>
      </c>
      <c r="AC25" s="40">
        <f>AVERAGE(AB25:AB31)</f>
        <v>-0.41289700863186951</v>
      </c>
      <c r="AD25" s="124">
        <f>'23'!$C31</f>
        <v>1.5473023263648074</v>
      </c>
      <c r="AE25" s="40">
        <f>AVERAGE(AD25:AD31)</f>
        <v>-0.45269767363519264</v>
      </c>
      <c r="AF25" s="124">
        <f>'24'!$C31</f>
        <v>8.1351951997101288</v>
      </c>
      <c r="AG25" s="180">
        <f>AVERAGE(AF25:AF31)</f>
        <v>-2.5790905145755856</v>
      </c>
    </row>
    <row r="26" spans="2:33" x14ac:dyDescent="0.45">
      <c r="B26" s="114">
        <f>Input!C17</f>
        <v>60</v>
      </c>
      <c r="D26" s="176">
        <f>'3'!C32</f>
        <v>-7.6746297338894109</v>
      </c>
      <c r="E26" s="50"/>
      <c r="F26" s="124">
        <f>'4'!C32</f>
        <v>7.6746297338894109</v>
      </c>
      <c r="G26" s="50"/>
      <c r="H26" s="124">
        <f>'5'!C32</f>
        <v>1.2750983139437224</v>
      </c>
      <c r="I26" s="50"/>
      <c r="J26" s="124">
        <f>'6'!C32</f>
        <v>-1.2750983139437224</v>
      </c>
      <c r="K26" s="50"/>
      <c r="L26" s="124">
        <f>'8-9'!C32</f>
        <v>-3.8726725924753964</v>
      </c>
      <c r="M26" s="50"/>
      <c r="N26" s="124">
        <f>'10-11'!$C32</f>
        <v>-9.4822794113231978</v>
      </c>
      <c r="O26" s="50"/>
      <c r="P26" s="124">
        <f>'12-13'!$C32</f>
        <v>-4.1846772698998045</v>
      </c>
      <c r="Q26" s="50"/>
      <c r="R26" s="124">
        <f>'14-15'!$C32</f>
        <v>-1.5473023263648074</v>
      </c>
      <c r="S26" s="50"/>
      <c r="T26" s="124">
        <f>'16-17'!$C32</f>
        <v>-1.5871029913681305</v>
      </c>
      <c r="U26" s="50"/>
      <c r="V26" s="124">
        <f>'18-19'!$C32</f>
        <v>-4.5800250811597962</v>
      </c>
      <c r="W26" s="50"/>
      <c r="X26" s="124">
        <f>'20'!$C32</f>
        <v>9.4822794113231978</v>
      </c>
      <c r="Y26" s="50"/>
      <c r="Z26" s="124">
        <f>'21'!$C32</f>
        <v>-1.8991076687925386</v>
      </c>
      <c r="AA26" s="50"/>
      <c r="AB26" s="124">
        <f>'22'!$C32</f>
        <v>1.5871029913681305</v>
      </c>
      <c r="AC26" s="50"/>
      <c r="AD26" s="124">
        <f>'23'!$C32</f>
        <v>1.5473023263648074</v>
      </c>
      <c r="AE26" s="50"/>
      <c r="AF26" s="124">
        <f>'24'!$C32</f>
        <v>3.1351951997101288</v>
      </c>
      <c r="AG26" s="178"/>
    </row>
    <row r="27" spans="2:33" x14ac:dyDescent="0.45">
      <c r="B27" s="114">
        <f>Input!C18</f>
        <v>65</v>
      </c>
      <c r="D27" s="176">
        <f>'3'!C33</f>
        <v>-7.6746297338894109</v>
      </c>
      <c r="E27" s="50"/>
      <c r="F27" s="124">
        <f>'4'!C33</f>
        <v>7.6746297338894109</v>
      </c>
      <c r="G27" s="50"/>
      <c r="H27" s="124">
        <f>'5'!C33</f>
        <v>-3.7249016860562776</v>
      </c>
      <c r="I27" s="50"/>
      <c r="J27" s="124">
        <f>'6'!C33</f>
        <v>3.7249016860562776</v>
      </c>
      <c r="K27" s="50"/>
      <c r="L27" s="124">
        <f>'8-9'!C33</f>
        <v>1.1273274075246036</v>
      </c>
      <c r="M27" s="50"/>
      <c r="N27" s="124">
        <f>'10-11'!$C33</f>
        <v>-9.4822794113231978</v>
      </c>
      <c r="O27" s="50"/>
      <c r="P27" s="124">
        <f>'12-13'!$C33</f>
        <v>-4.1846772698998045</v>
      </c>
      <c r="Q27" s="50"/>
      <c r="R27" s="124">
        <f>'14-15'!$C33</f>
        <v>-1.5473023263648074</v>
      </c>
      <c r="S27" s="50"/>
      <c r="T27" s="124">
        <f>'16-17'!$C33</f>
        <v>-1.5871029913681305</v>
      </c>
      <c r="U27" s="50"/>
      <c r="V27" s="124">
        <f>'18-19'!$C33</f>
        <v>-4.5800250811597962</v>
      </c>
      <c r="W27" s="50"/>
      <c r="X27" s="124">
        <f>'20'!$C33</f>
        <v>9.4822794113231978</v>
      </c>
      <c r="Y27" s="50"/>
      <c r="Z27" s="124">
        <f>'21'!$C33</f>
        <v>-6.8991076687925386</v>
      </c>
      <c r="AA27" s="50"/>
      <c r="AB27" s="124">
        <f>'22'!$C33</f>
        <v>1.5871029913681305</v>
      </c>
      <c r="AC27" s="50"/>
      <c r="AD27" s="124">
        <f>'23'!$C33</f>
        <v>1.5473023263648074</v>
      </c>
      <c r="AE27" s="50"/>
      <c r="AF27" s="124">
        <f>'24'!$C33</f>
        <v>-1.8648048002898712</v>
      </c>
      <c r="AG27" s="178"/>
    </row>
    <row r="28" spans="2:33" x14ac:dyDescent="0.45">
      <c r="B28" s="114">
        <f>Input!C19</f>
        <v>70</v>
      </c>
      <c r="D28" s="176">
        <f>'3'!C34</f>
        <v>-5.6746297338894109</v>
      </c>
      <c r="E28" s="50"/>
      <c r="F28" s="124">
        <f>'4'!C34</f>
        <v>5.6746297338894109</v>
      </c>
      <c r="G28" s="50"/>
      <c r="H28" s="124">
        <f>'5'!C34</f>
        <v>-8.7249016860562776</v>
      </c>
      <c r="I28" s="50"/>
      <c r="J28" s="124">
        <f>'6'!C34</f>
        <v>8.7249016860562776</v>
      </c>
      <c r="K28" s="50"/>
      <c r="L28" s="124">
        <f>'8-9'!C34</f>
        <v>6.1273274075246036</v>
      </c>
      <c r="M28" s="50"/>
      <c r="N28" s="124">
        <f>'10-11'!$C34</f>
        <v>-9.4822794113231978</v>
      </c>
      <c r="O28" s="50"/>
      <c r="P28" s="124">
        <f>'12-13'!$C34</f>
        <v>-2.1846772698998045</v>
      </c>
      <c r="Q28" s="50"/>
      <c r="R28" s="124">
        <f>'14-15'!$C34</f>
        <v>0.45269767363519264</v>
      </c>
      <c r="S28" s="50"/>
      <c r="T28" s="124">
        <f>'16-17'!$C34</f>
        <v>0.41289700863186951</v>
      </c>
      <c r="U28" s="50"/>
      <c r="V28" s="124">
        <f>'18-19'!$C34</f>
        <v>-6.5800250811597962</v>
      </c>
      <c r="W28" s="50"/>
      <c r="X28" s="124">
        <f>'20'!$C34</f>
        <v>9.4822794113231978</v>
      </c>
      <c r="Y28" s="50"/>
      <c r="Z28" s="124">
        <f>'21'!$C34</f>
        <v>-7.8991076687925386</v>
      </c>
      <c r="AA28" s="50"/>
      <c r="AB28" s="124">
        <f>'22'!$C34</f>
        <v>-0.41289700863186951</v>
      </c>
      <c r="AC28" s="50"/>
      <c r="AD28" s="124">
        <f>'23'!$C34</f>
        <v>-0.45269767363519264</v>
      </c>
      <c r="AE28" s="50"/>
      <c r="AF28" s="124">
        <f>'24'!$C34</f>
        <v>-6.8648048002898712</v>
      </c>
      <c r="AG28" s="178"/>
    </row>
    <row r="29" spans="2:33" x14ac:dyDescent="0.45">
      <c r="B29" s="114">
        <f>Input!C20</f>
        <v>75</v>
      </c>
      <c r="D29" s="176">
        <f>'3'!C35</f>
        <v>-0.67462973388941094</v>
      </c>
      <c r="E29" s="50"/>
      <c r="F29" s="124">
        <f>'4'!C35</f>
        <v>0.67462973388941094</v>
      </c>
      <c r="G29" s="50"/>
      <c r="H29" s="124">
        <f>'5'!C35</f>
        <v>-10.724901686056278</v>
      </c>
      <c r="I29" s="50"/>
      <c r="J29" s="124">
        <f>'6'!C35</f>
        <v>10.724901686056278</v>
      </c>
      <c r="K29" s="50"/>
      <c r="L29" s="124">
        <f>'8-9'!C35</f>
        <v>8.1273274075246036</v>
      </c>
      <c r="M29" s="50"/>
      <c r="N29" s="124">
        <f>'10-11'!$C35</f>
        <v>-4.4822794113231978</v>
      </c>
      <c r="O29" s="50"/>
      <c r="P29" s="124">
        <f>'12-13'!$C35</f>
        <v>-0.18467726989980449</v>
      </c>
      <c r="Q29" s="50"/>
      <c r="R29" s="124">
        <f>'14-15'!$C35</f>
        <v>2.4526976736351926</v>
      </c>
      <c r="S29" s="50"/>
      <c r="T29" s="124">
        <f>'16-17'!$C35</f>
        <v>2.4128970086318695</v>
      </c>
      <c r="U29" s="50"/>
      <c r="V29" s="124">
        <f>'18-19'!$C35</f>
        <v>-5.5800250811597962</v>
      </c>
      <c r="W29" s="50"/>
      <c r="X29" s="124">
        <f>'20'!$C35</f>
        <v>4.4822794113231978</v>
      </c>
      <c r="Y29" s="50"/>
      <c r="Z29" s="124">
        <f>'21'!$C35</f>
        <v>-5.8991076687925386</v>
      </c>
      <c r="AA29" s="50"/>
      <c r="AB29" s="124">
        <f>'22'!$C35</f>
        <v>-2.4128970086318695</v>
      </c>
      <c r="AC29" s="50"/>
      <c r="AD29" s="124">
        <f>'23'!$C35</f>
        <v>-2.4526976736351926</v>
      </c>
      <c r="AE29" s="50"/>
      <c r="AF29" s="124">
        <f>'24'!$C35</f>
        <v>-6.8648048002898712</v>
      </c>
      <c r="AG29" s="178"/>
    </row>
    <row r="30" spans="2:33" x14ac:dyDescent="0.45">
      <c r="B30" s="114">
        <f>Input!C21</f>
        <v>80</v>
      </c>
      <c r="D30" s="176">
        <f>'3'!C36</f>
        <v>4.3253702661105891</v>
      </c>
      <c r="E30" s="50"/>
      <c r="F30" s="124">
        <f>'4'!C36</f>
        <v>-4.3253702661105891</v>
      </c>
      <c r="G30" s="50"/>
      <c r="H30" s="124">
        <f>'5'!C36</f>
        <v>-10.724901686056278</v>
      </c>
      <c r="I30" s="50"/>
      <c r="J30" s="124">
        <f>'6'!C36</f>
        <v>10.724901686056278</v>
      </c>
      <c r="K30" s="50"/>
      <c r="L30" s="124">
        <f>'8-9'!C36</f>
        <v>8.1273274075246036</v>
      </c>
      <c r="M30" s="50"/>
      <c r="N30" s="124">
        <f>'10-11'!$C36</f>
        <v>0.51772058867680215</v>
      </c>
      <c r="O30" s="50"/>
      <c r="P30" s="124">
        <f>'12-13'!$C36</f>
        <v>-0.18467726989980449</v>
      </c>
      <c r="Q30" s="50"/>
      <c r="R30" s="124">
        <f>'14-15'!$C36</f>
        <v>2.4526976736351926</v>
      </c>
      <c r="S30" s="50"/>
      <c r="T30" s="124">
        <f>'16-17'!$C36</f>
        <v>2.4128970086318695</v>
      </c>
      <c r="U30" s="50"/>
      <c r="V30" s="124">
        <f>'18-19'!$C36</f>
        <v>-0.58002508115979623</v>
      </c>
      <c r="W30" s="50"/>
      <c r="X30" s="124">
        <f>'20'!$C36</f>
        <v>-0.51772058867680215</v>
      </c>
      <c r="Y30" s="50"/>
      <c r="Z30" s="124">
        <f>'21'!$C36</f>
        <v>-5.8991076687925386</v>
      </c>
      <c r="AA30" s="50"/>
      <c r="AB30" s="124">
        <f>'22'!$C36</f>
        <v>-2.4128970086318695</v>
      </c>
      <c r="AC30" s="50"/>
      <c r="AD30" s="124">
        <f>'23'!$C36</f>
        <v>-2.4526976736351926</v>
      </c>
      <c r="AE30" s="50"/>
      <c r="AF30" s="124">
        <f>'24'!$C36</f>
        <v>-6.8648048002898712</v>
      </c>
      <c r="AG30" s="178"/>
    </row>
    <row r="31" spans="2:33" x14ac:dyDescent="0.45">
      <c r="B31" s="114">
        <f>Input!C22</f>
        <v>85</v>
      </c>
      <c r="D31" s="176">
        <f>'3'!C37</f>
        <v>9.3253702661105891</v>
      </c>
      <c r="E31" s="39">
        <f>AVERAGE(D31:D36)</f>
        <v>21.825370266110586</v>
      </c>
      <c r="F31" s="124">
        <f>'4'!C37</f>
        <v>-9.3253702661105891</v>
      </c>
      <c r="G31" s="39">
        <f>AVERAGE(F31:F36)</f>
        <v>-21.825370266110586</v>
      </c>
      <c r="H31" s="124">
        <f>'5'!C37</f>
        <v>-10.724901686056278</v>
      </c>
      <c r="I31" s="39">
        <f>AVERAGE(H31:H36)</f>
        <v>-10.724901686056278</v>
      </c>
      <c r="J31" s="124">
        <f>'6'!C37</f>
        <v>10.724901686056278</v>
      </c>
      <c r="K31" s="39">
        <f>AVERAGE(J31:J36)</f>
        <v>10.724901686056278</v>
      </c>
      <c r="L31" s="124">
        <f>'8-9'!C37</f>
        <v>8.1273274075246036</v>
      </c>
      <c r="M31" s="39">
        <f>AVERAGE(L31:L36)</f>
        <v>8.1273274075246036</v>
      </c>
      <c r="N31" s="124">
        <f>'10-11'!$C37</f>
        <v>5.5177205886768022</v>
      </c>
      <c r="O31" s="39">
        <f>AVERAGE(N31:N36)</f>
        <v>18.017720588676806</v>
      </c>
      <c r="P31" s="124">
        <f>'12-13'!$C37</f>
        <v>-0.18467726989980449</v>
      </c>
      <c r="Q31" s="39">
        <f>AVERAGE(P31:P36)</f>
        <v>-0.18467726989980449</v>
      </c>
      <c r="R31" s="124">
        <f>'14-15'!$C37</f>
        <v>2.4526976736351926</v>
      </c>
      <c r="S31" s="39">
        <f>AVERAGE(R31:R36)</f>
        <v>2.4526976736351926</v>
      </c>
      <c r="T31" s="124">
        <f>'16-17'!$C37</f>
        <v>2.4128970086318695</v>
      </c>
      <c r="U31" s="39">
        <f>AVERAGE(T31:T36)</f>
        <v>2.4128970086318695</v>
      </c>
      <c r="V31" s="124">
        <f>'18-19'!$C37</f>
        <v>4.4199749188402038</v>
      </c>
      <c r="W31" s="39">
        <f>AVERAGE(V31:V36)</f>
        <v>16.919974918840207</v>
      </c>
      <c r="X31" s="124">
        <f>'20'!$C37</f>
        <v>-5.5177205886768022</v>
      </c>
      <c r="Y31" s="39">
        <f>AVERAGE(X31:X36)</f>
        <v>-18.017720588676806</v>
      </c>
      <c r="Z31" s="124">
        <f>'21'!$C37</f>
        <v>-5.8991076687925386</v>
      </c>
      <c r="AA31" s="39">
        <f>AVERAGE(Z31:Z36)</f>
        <v>-5.8991076687925386</v>
      </c>
      <c r="AB31" s="124">
        <f>'22'!$C37</f>
        <v>-2.4128970086318695</v>
      </c>
      <c r="AC31" s="39">
        <f>AVERAGE(AB31:AB36)</f>
        <v>-2.4128970086318695</v>
      </c>
      <c r="AD31" s="124">
        <f>'23'!$C37</f>
        <v>-2.4526976736351926</v>
      </c>
      <c r="AE31" s="39">
        <f>AVERAGE(AD31:AD36)</f>
        <v>-2.4526976736351926</v>
      </c>
      <c r="AF31" s="124">
        <f>'24'!$C37</f>
        <v>-6.8648048002898712</v>
      </c>
      <c r="AG31" s="181">
        <f>AVERAGE(AF31:AF36)</f>
        <v>-6.8648048002898721</v>
      </c>
    </row>
    <row r="32" spans="2:33" x14ac:dyDescent="0.45">
      <c r="B32" s="114">
        <f>Input!C23</f>
        <v>90</v>
      </c>
      <c r="D32" s="176">
        <f>'3'!C38</f>
        <v>14.325370266110589</v>
      </c>
      <c r="E32" s="50"/>
      <c r="F32" s="124">
        <f>'4'!C38</f>
        <v>-14.325370266110589</v>
      </c>
      <c r="G32" s="50"/>
      <c r="H32" s="124">
        <f>'5'!C38</f>
        <v>-10.724901686056278</v>
      </c>
      <c r="I32" s="50"/>
      <c r="J32" s="124">
        <f>'6'!C38</f>
        <v>10.724901686056278</v>
      </c>
      <c r="K32" s="50"/>
      <c r="L32" s="124">
        <f>'8-9'!C38</f>
        <v>8.1273274075246036</v>
      </c>
      <c r="M32" s="50"/>
      <c r="N32" s="124">
        <f>'10-11'!$C38</f>
        <v>10.517720588676802</v>
      </c>
      <c r="O32" s="50"/>
      <c r="P32" s="124">
        <f>'12-13'!$C38</f>
        <v>-0.18467726989980449</v>
      </c>
      <c r="Q32" s="50"/>
      <c r="R32" s="124">
        <f>'14-15'!$C38</f>
        <v>2.4526976736351926</v>
      </c>
      <c r="S32" s="50"/>
      <c r="T32" s="124">
        <f>'16-17'!$C38</f>
        <v>2.4128970086318695</v>
      </c>
      <c r="U32" s="50"/>
      <c r="V32" s="124">
        <f>'18-19'!$C38</f>
        <v>9.4199749188402038</v>
      </c>
      <c r="W32" s="50"/>
      <c r="X32" s="124">
        <f>'20'!$C38</f>
        <v>-10.517720588676802</v>
      </c>
      <c r="Y32" s="50"/>
      <c r="Z32" s="124">
        <f>'21'!$C38</f>
        <v>-5.8991076687925386</v>
      </c>
      <c r="AA32" s="50"/>
      <c r="AB32" s="124">
        <f>'22'!$C38</f>
        <v>-2.4128970086318695</v>
      </c>
      <c r="AC32" s="50"/>
      <c r="AD32" s="124">
        <f>'23'!$C38</f>
        <v>-2.4526976736351926</v>
      </c>
      <c r="AE32" s="50"/>
      <c r="AF32" s="124">
        <f>'24'!$C38</f>
        <v>-6.8648048002898712</v>
      </c>
      <c r="AG32" s="178"/>
    </row>
    <row r="33" spans="2:33" x14ac:dyDescent="0.45">
      <c r="B33" s="114">
        <f>Input!C24</f>
        <v>95</v>
      </c>
      <c r="D33" s="176">
        <f>'3'!C39</f>
        <v>19.325370266110589</v>
      </c>
      <c r="E33" s="50"/>
      <c r="F33" s="124">
        <f>'4'!C39</f>
        <v>-19.325370266110589</v>
      </c>
      <c r="G33" s="50"/>
      <c r="H33" s="124">
        <f>'5'!C39</f>
        <v>-10.724901686056278</v>
      </c>
      <c r="I33" s="50"/>
      <c r="J33" s="124">
        <f>'6'!C39</f>
        <v>10.724901686056278</v>
      </c>
      <c r="K33" s="50"/>
      <c r="L33" s="124">
        <f>'8-9'!C39</f>
        <v>8.1273274075246036</v>
      </c>
      <c r="M33" s="50"/>
      <c r="N33" s="124">
        <f>'10-11'!$C39</f>
        <v>15.517720588676802</v>
      </c>
      <c r="O33" s="50"/>
      <c r="P33" s="124">
        <f>'12-13'!$C39</f>
        <v>-0.18467726989980449</v>
      </c>
      <c r="Q33" s="50"/>
      <c r="R33" s="124">
        <f>'14-15'!$C39</f>
        <v>2.4526976736351926</v>
      </c>
      <c r="S33" s="50"/>
      <c r="T33" s="124">
        <f>'16-17'!$C39</f>
        <v>2.4128970086318695</v>
      </c>
      <c r="U33" s="50"/>
      <c r="V33" s="124">
        <f>'18-19'!$C39</f>
        <v>14.419974918840204</v>
      </c>
      <c r="W33" s="50"/>
      <c r="X33" s="124">
        <f>'20'!$C39</f>
        <v>-15.517720588676802</v>
      </c>
      <c r="Y33" s="50"/>
      <c r="Z33" s="124">
        <f>'21'!$C39</f>
        <v>-5.8991076687925386</v>
      </c>
      <c r="AA33" s="50"/>
      <c r="AB33" s="124">
        <f>'22'!$C39</f>
        <v>-2.4128970086318695</v>
      </c>
      <c r="AC33" s="50"/>
      <c r="AD33" s="124">
        <f>'23'!$C39</f>
        <v>-2.4526976736351926</v>
      </c>
      <c r="AE33" s="50"/>
      <c r="AF33" s="124">
        <f>'24'!$C39</f>
        <v>-6.8648048002898712</v>
      </c>
      <c r="AG33" s="178"/>
    </row>
    <row r="34" spans="2:33" x14ac:dyDescent="0.45">
      <c r="B34" s="114">
        <f>Input!C25</f>
        <v>100</v>
      </c>
      <c r="D34" s="176">
        <f>'3'!C40</f>
        <v>24.325370266110589</v>
      </c>
      <c r="E34" s="50"/>
      <c r="F34" s="124">
        <f>'4'!C40</f>
        <v>-24.325370266110589</v>
      </c>
      <c r="G34" s="50"/>
      <c r="H34" s="124">
        <f>'5'!C40</f>
        <v>-10.724901686056278</v>
      </c>
      <c r="I34" s="50"/>
      <c r="J34" s="124">
        <f>'6'!C40</f>
        <v>10.724901686056278</v>
      </c>
      <c r="K34" s="50"/>
      <c r="L34" s="124">
        <f>'8-9'!C40</f>
        <v>8.1273274075246036</v>
      </c>
      <c r="M34" s="50"/>
      <c r="N34" s="124">
        <f>'10-11'!$C40</f>
        <v>20.517720588676802</v>
      </c>
      <c r="O34" s="50"/>
      <c r="P34" s="124">
        <f>'12-13'!$C40</f>
        <v>-0.18467726989980449</v>
      </c>
      <c r="Q34" s="50"/>
      <c r="R34" s="124">
        <f>'14-15'!$C40</f>
        <v>2.4526976736351926</v>
      </c>
      <c r="S34" s="50"/>
      <c r="T34" s="124">
        <f>'16-17'!$C40</f>
        <v>2.4128970086318695</v>
      </c>
      <c r="U34" s="50"/>
      <c r="V34" s="124">
        <f>'18-19'!$C40</f>
        <v>19.419974918840204</v>
      </c>
      <c r="W34" s="50"/>
      <c r="X34" s="124">
        <f>'20'!$C40</f>
        <v>-20.517720588676802</v>
      </c>
      <c r="Y34" s="50"/>
      <c r="Z34" s="124">
        <f>'21'!$C40</f>
        <v>-5.8991076687925386</v>
      </c>
      <c r="AA34" s="50"/>
      <c r="AB34" s="124">
        <f>'22'!$C40</f>
        <v>-2.4128970086318695</v>
      </c>
      <c r="AC34" s="50"/>
      <c r="AD34" s="124">
        <f>'23'!$C40</f>
        <v>-2.4526976736351926</v>
      </c>
      <c r="AE34" s="50"/>
      <c r="AF34" s="124">
        <f>'24'!$C40</f>
        <v>-6.8648048002898712</v>
      </c>
      <c r="AG34" s="178"/>
    </row>
    <row r="35" spans="2:33" x14ac:dyDescent="0.45">
      <c r="B35" s="114">
        <f>Input!C26</f>
        <v>105</v>
      </c>
      <c r="D35" s="176">
        <f>'3'!C41</f>
        <v>29.325370266110589</v>
      </c>
      <c r="E35" s="50"/>
      <c r="F35" s="124">
        <f>'4'!C41</f>
        <v>-29.325370266110589</v>
      </c>
      <c r="G35" s="50"/>
      <c r="H35" s="124">
        <f>'5'!C41</f>
        <v>-10.724901686056278</v>
      </c>
      <c r="I35" s="50"/>
      <c r="J35" s="124">
        <f>'6'!C41</f>
        <v>10.724901686056278</v>
      </c>
      <c r="K35" s="50"/>
      <c r="L35" s="124">
        <f>'8-9'!C41</f>
        <v>8.1273274075246036</v>
      </c>
      <c r="M35" s="50"/>
      <c r="N35" s="124">
        <f>'10-11'!$C41</f>
        <v>25.517720588676802</v>
      </c>
      <c r="O35" s="50"/>
      <c r="P35" s="124">
        <f>'12-13'!$C41</f>
        <v>-0.18467726989980449</v>
      </c>
      <c r="Q35" s="50"/>
      <c r="R35" s="124">
        <f>'14-15'!$C41</f>
        <v>2.4526976736351926</v>
      </c>
      <c r="S35" s="50"/>
      <c r="T35" s="124">
        <f>'16-17'!$C41</f>
        <v>2.4128970086318695</v>
      </c>
      <c r="U35" s="50"/>
      <c r="V35" s="124">
        <f>'18-19'!$C41</f>
        <v>24.419974918840204</v>
      </c>
      <c r="W35" s="50"/>
      <c r="X35" s="124">
        <f>'20'!$C41</f>
        <v>-25.517720588676802</v>
      </c>
      <c r="Y35" s="50"/>
      <c r="Z35" s="124">
        <f>'21'!$C41</f>
        <v>-5.8991076687925386</v>
      </c>
      <c r="AA35" s="50"/>
      <c r="AB35" s="124">
        <f>'22'!$C41</f>
        <v>-2.4128970086318695</v>
      </c>
      <c r="AC35" s="50"/>
      <c r="AD35" s="124">
        <f>'23'!$C41</f>
        <v>-2.4526976736351926</v>
      </c>
      <c r="AE35" s="50"/>
      <c r="AF35" s="124">
        <f>'24'!$C41</f>
        <v>-6.8648048002898712</v>
      </c>
      <c r="AG35" s="178"/>
    </row>
    <row r="36" spans="2:33" x14ac:dyDescent="0.45">
      <c r="B36" s="114">
        <f>Input!C27</f>
        <v>110</v>
      </c>
      <c r="D36" s="176">
        <f>'3'!C42</f>
        <v>34.325370266110589</v>
      </c>
      <c r="E36" s="51">
        <f>AVERAGE(D36:D42)</f>
        <v>49.325370266110589</v>
      </c>
      <c r="F36" s="124">
        <f>'4'!C42</f>
        <v>-34.325370266110589</v>
      </c>
      <c r="G36" s="51">
        <f>AVERAGE(F36:F42)</f>
        <v>-49.325370266110589</v>
      </c>
      <c r="H36" s="124">
        <f>'5'!C42</f>
        <v>-10.724901686056278</v>
      </c>
      <c r="I36" s="51">
        <f>AVERAGE(H36:H42)</f>
        <v>-10.724901686056276</v>
      </c>
      <c r="J36" s="124">
        <f>'6'!C42</f>
        <v>10.724901686056278</v>
      </c>
      <c r="K36" s="51">
        <f>AVERAGE(J36:J42)</f>
        <v>10.724901686056276</v>
      </c>
      <c r="L36" s="124">
        <f>'8-9'!C42</f>
        <v>8.1273274075246036</v>
      </c>
      <c r="M36" s="51">
        <f>AVERAGE(L36:L42)</f>
        <v>8.1273274075246036</v>
      </c>
      <c r="N36" s="124">
        <f>'10-11'!$C42</f>
        <v>30.517720588676802</v>
      </c>
      <c r="O36" s="51">
        <f>AVERAGE(N36:N42)</f>
        <v>45.517720588676802</v>
      </c>
      <c r="P36" s="124">
        <f>'12-13'!$C42</f>
        <v>-0.18467726989980449</v>
      </c>
      <c r="Q36" s="51">
        <f>AVERAGE(P36:P42)</f>
        <v>-0.18467726989980754</v>
      </c>
      <c r="R36" s="124">
        <f>'14-15'!$C42</f>
        <v>2.4526976736351926</v>
      </c>
      <c r="S36" s="51">
        <f>AVERAGE(R36:R42)</f>
        <v>2.4526976736351918</v>
      </c>
      <c r="T36" s="124">
        <f>'16-17'!$C42</f>
        <v>2.4128970086318695</v>
      </c>
      <c r="U36" s="51">
        <f>AVERAGE(T36:T42)</f>
        <v>2.4128970086318695</v>
      </c>
      <c r="V36" s="124">
        <f>'18-19'!$C42</f>
        <v>29.419974918840204</v>
      </c>
      <c r="W36" s="51">
        <f>AVERAGE(V36:V42)</f>
        <v>44.419974918840204</v>
      </c>
      <c r="X36" s="124">
        <f>'20'!$C42</f>
        <v>-30.517720588676802</v>
      </c>
      <c r="Y36" s="51">
        <f>AVERAGE(X36:X42)</f>
        <v>-45.517720588676802</v>
      </c>
      <c r="Z36" s="124">
        <f>'21'!$C42</f>
        <v>-5.8991076687925386</v>
      </c>
      <c r="AA36" s="51">
        <f>AVERAGE(Z36:Z42)</f>
        <v>-5.8991076687925386</v>
      </c>
      <c r="AB36" s="124">
        <f>'22'!$C42</f>
        <v>-2.4128970086318695</v>
      </c>
      <c r="AC36" s="51">
        <f>AVERAGE(AB36:AB42)</f>
        <v>-2.4128970086318695</v>
      </c>
      <c r="AD36" s="124">
        <f>'23'!$C42</f>
        <v>-2.4526976736351926</v>
      </c>
      <c r="AE36" s="51">
        <f>AVERAGE(AD36:AD42)</f>
        <v>-2.4526976736351918</v>
      </c>
      <c r="AF36" s="124">
        <f>'24'!$C42</f>
        <v>-6.8648048002898747</v>
      </c>
      <c r="AG36" s="182">
        <f>AVERAGE(AF36:AF42)</f>
        <v>-6.8648048002898747</v>
      </c>
    </row>
    <row r="37" spans="2:33" x14ac:dyDescent="0.45">
      <c r="B37" s="114">
        <f>Input!C28</f>
        <v>115</v>
      </c>
      <c r="D37" s="176">
        <f>'3'!C43</f>
        <v>39.325370266110589</v>
      </c>
      <c r="E37" s="50"/>
      <c r="F37" s="124">
        <f>'4'!C43</f>
        <v>-39.325370266110589</v>
      </c>
      <c r="G37" s="50"/>
      <c r="H37" s="124">
        <f>'5'!C43</f>
        <v>-10.724901686056278</v>
      </c>
      <c r="I37" s="50"/>
      <c r="J37" s="124">
        <f>'6'!C43</f>
        <v>10.724901686056278</v>
      </c>
      <c r="K37" s="50"/>
      <c r="L37" s="124">
        <f>'8-9'!C43</f>
        <v>8.1273274075246036</v>
      </c>
      <c r="M37" s="50"/>
      <c r="N37" s="124">
        <f>'10-11'!$C43</f>
        <v>35.517720588676802</v>
      </c>
      <c r="O37" s="50"/>
      <c r="P37" s="124">
        <f>'12-13'!$C43</f>
        <v>-0.18467726989980804</v>
      </c>
      <c r="Q37" s="50"/>
      <c r="R37" s="124">
        <f>'14-15'!$C43</f>
        <v>2.4526976736351926</v>
      </c>
      <c r="S37" s="50"/>
      <c r="T37" s="124">
        <f>'16-17'!$C43</f>
        <v>2.4128970086318695</v>
      </c>
      <c r="U37" s="50"/>
      <c r="V37" s="124">
        <f>'18-19'!$C43</f>
        <v>34.419974918840204</v>
      </c>
      <c r="W37" s="50"/>
      <c r="X37" s="124">
        <f>'20'!$C43</f>
        <v>-35.517720588676802</v>
      </c>
      <c r="Y37" s="50"/>
      <c r="Z37" s="124">
        <f>'21'!$C43</f>
        <v>-5.8991076687925386</v>
      </c>
      <c r="AA37" s="50"/>
      <c r="AB37" s="124">
        <f>'22'!$C43</f>
        <v>-2.4128970086318695</v>
      </c>
      <c r="AC37" s="50"/>
      <c r="AD37" s="124">
        <f>'23'!$C43</f>
        <v>-2.4526976736351926</v>
      </c>
      <c r="AE37" s="50"/>
      <c r="AF37" s="124">
        <f>'24'!$C43</f>
        <v>-6.8648048002898747</v>
      </c>
      <c r="AG37" s="178"/>
    </row>
    <row r="38" spans="2:33" x14ac:dyDescent="0.45">
      <c r="B38" s="114">
        <f>Input!C29</f>
        <v>120</v>
      </c>
      <c r="D38" s="176">
        <f>'3'!C44</f>
        <v>44.325370266110589</v>
      </c>
      <c r="E38" s="50"/>
      <c r="F38" s="124">
        <f>'4'!C44</f>
        <v>-44.325370266110589</v>
      </c>
      <c r="G38" s="50"/>
      <c r="H38" s="124">
        <f>'5'!C44</f>
        <v>-10.724901686056278</v>
      </c>
      <c r="I38" s="50"/>
      <c r="J38" s="124">
        <f>'6'!C44</f>
        <v>10.724901686056278</v>
      </c>
      <c r="K38" s="50"/>
      <c r="L38" s="124">
        <f>'8-9'!C44</f>
        <v>8.1273274075246036</v>
      </c>
      <c r="M38" s="50"/>
      <c r="N38" s="124">
        <f>'10-11'!$C44</f>
        <v>40.517720588676802</v>
      </c>
      <c r="O38" s="50"/>
      <c r="P38" s="124">
        <f>'12-13'!$C44</f>
        <v>-0.18467726989980804</v>
      </c>
      <c r="Q38" s="50"/>
      <c r="R38" s="124">
        <f>'14-15'!$C44</f>
        <v>2.4526976736351926</v>
      </c>
      <c r="S38" s="50"/>
      <c r="T38" s="124">
        <f>'16-17'!$C44</f>
        <v>2.4128970086318695</v>
      </c>
      <c r="U38" s="50"/>
      <c r="V38" s="124">
        <f>'18-19'!$C44</f>
        <v>39.419974918840204</v>
      </c>
      <c r="W38" s="50"/>
      <c r="X38" s="124">
        <f>'20'!$C44</f>
        <v>-40.517720588676802</v>
      </c>
      <c r="Y38" s="50"/>
      <c r="Z38" s="124">
        <f>'21'!$C44</f>
        <v>-5.8991076687925386</v>
      </c>
      <c r="AA38" s="50"/>
      <c r="AB38" s="124">
        <f>'22'!$C44</f>
        <v>-2.4128970086318695</v>
      </c>
      <c r="AC38" s="50"/>
      <c r="AD38" s="124">
        <f>'23'!$C44</f>
        <v>-2.4526976736351926</v>
      </c>
      <c r="AE38" s="50"/>
      <c r="AF38" s="124">
        <f>'24'!$C44</f>
        <v>-6.8648048002898747</v>
      </c>
      <c r="AG38" s="178"/>
    </row>
    <row r="39" spans="2:33" x14ac:dyDescent="0.45">
      <c r="B39" s="114">
        <f>Input!C30</f>
        <v>125</v>
      </c>
      <c r="D39" s="176">
        <f>'3'!C45</f>
        <v>49.325370266110589</v>
      </c>
      <c r="E39" s="49"/>
      <c r="F39" s="124">
        <f>'4'!C45</f>
        <v>-49.325370266110589</v>
      </c>
      <c r="G39" s="49"/>
      <c r="H39" s="124">
        <f>'5'!C45</f>
        <v>-10.724901686056278</v>
      </c>
      <c r="I39" s="49"/>
      <c r="J39" s="124">
        <f>'6'!C45</f>
        <v>10.724901686056278</v>
      </c>
      <c r="K39" s="49"/>
      <c r="L39" s="124">
        <f>'8-9'!C45</f>
        <v>8.1273274075246036</v>
      </c>
      <c r="M39" s="50"/>
      <c r="N39" s="124">
        <f>'10-11'!$C45</f>
        <v>45.517720588676802</v>
      </c>
      <c r="O39" s="50"/>
      <c r="P39" s="124">
        <f>'12-13'!$C45</f>
        <v>-0.18467726989980804</v>
      </c>
      <c r="Q39" s="50"/>
      <c r="R39" s="124">
        <f>'14-15'!$C45</f>
        <v>2.4526976736351926</v>
      </c>
      <c r="S39" s="50"/>
      <c r="T39" s="124">
        <f>'16-17'!$C45</f>
        <v>2.4128970086318695</v>
      </c>
      <c r="U39" s="50"/>
      <c r="V39" s="124">
        <f>'18-19'!$C45</f>
        <v>44.419974918840204</v>
      </c>
      <c r="W39" s="50"/>
      <c r="X39" s="124">
        <f>'20'!$C45</f>
        <v>-45.517720588676802</v>
      </c>
      <c r="Y39" s="50"/>
      <c r="Z39" s="124">
        <f>'21'!$C45</f>
        <v>-5.8991076687925386</v>
      </c>
      <c r="AA39" s="50"/>
      <c r="AB39" s="124">
        <f>'22'!$C45</f>
        <v>-2.4128970086318695</v>
      </c>
      <c r="AC39" s="50"/>
      <c r="AD39" s="124">
        <f>'23'!$C45</f>
        <v>-2.4526976736351926</v>
      </c>
      <c r="AE39" s="50"/>
      <c r="AF39" s="124">
        <f>'24'!$C45</f>
        <v>-6.8648048002898747</v>
      </c>
      <c r="AG39" s="178"/>
    </row>
    <row r="40" spans="2:33" x14ac:dyDescent="0.45">
      <c r="B40" s="114">
        <f>Input!C31</f>
        <v>130</v>
      </c>
      <c r="D40" s="176">
        <f>'3'!C46</f>
        <v>54.325370266110589</v>
      </c>
      <c r="E40" s="49"/>
      <c r="F40" s="124">
        <f>'4'!C46</f>
        <v>-54.325370266110589</v>
      </c>
      <c r="G40" s="49"/>
      <c r="H40" s="124">
        <f>'5'!C46</f>
        <v>-10.724901686056278</v>
      </c>
      <c r="I40" s="49"/>
      <c r="J40" s="124">
        <f>'6'!C46</f>
        <v>10.724901686056278</v>
      </c>
      <c r="K40" s="49"/>
      <c r="L40" s="124">
        <f>'8-9'!C46</f>
        <v>8.1273274075246036</v>
      </c>
      <c r="M40" s="50"/>
      <c r="N40" s="124">
        <f>'10-11'!$C46</f>
        <v>50.517720588676802</v>
      </c>
      <c r="O40" s="50"/>
      <c r="P40" s="124">
        <f>'12-13'!$C46</f>
        <v>-0.18467726989980804</v>
      </c>
      <c r="Q40" s="50"/>
      <c r="R40" s="124">
        <f>'14-15'!$C46</f>
        <v>2.4526976736351926</v>
      </c>
      <c r="S40" s="50"/>
      <c r="T40" s="124">
        <f>'16-17'!$C46</f>
        <v>2.4128970086318695</v>
      </c>
      <c r="U40" s="50"/>
      <c r="V40" s="124">
        <f>'18-19'!$C46</f>
        <v>49.419974918840204</v>
      </c>
      <c r="W40" s="50"/>
      <c r="X40" s="124">
        <f>'20'!$C46</f>
        <v>-50.517720588676802</v>
      </c>
      <c r="Y40" s="50"/>
      <c r="Z40" s="124">
        <f>'21'!$C46</f>
        <v>-5.8991076687925386</v>
      </c>
      <c r="AA40" s="50"/>
      <c r="AB40" s="124">
        <f>'22'!$C46</f>
        <v>-2.4128970086318695</v>
      </c>
      <c r="AC40" s="50"/>
      <c r="AD40" s="124">
        <f>'23'!$C46</f>
        <v>-2.4526976736351926</v>
      </c>
      <c r="AE40" s="50"/>
      <c r="AF40" s="124">
        <f>'24'!$C46</f>
        <v>-6.8648048002898747</v>
      </c>
      <c r="AG40" s="178"/>
    </row>
    <row r="41" spans="2:33" x14ac:dyDescent="0.45">
      <c r="B41" s="114">
        <f>Input!C32</f>
        <v>135</v>
      </c>
      <c r="D41" s="176">
        <f>'3'!C47</f>
        <v>59.325370266110589</v>
      </c>
      <c r="E41" s="49"/>
      <c r="F41" s="124">
        <f>'4'!C47</f>
        <v>-59.325370266110589</v>
      </c>
      <c r="G41" s="49"/>
      <c r="H41" s="124">
        <f>'5'!C47</f>
        <v>-10.724901686056278</v>
      </c>
      <c r="I41" s="49"/>
      <c r="J41" s="124">
        <f>'6'!C47</f>
        <v>10.724901686056278</v>
      </c>
      <c r="K41" s="49"/>
      <c r="L41" s="124">
        <f>'8-9'!C47</f>
        <v>8.1273274075246036</v>
      </c>
      <c r="M41" s="50"/>
      <c r="N41" s="124">
        <f>'10-11'!$C47</f>
        <v>55.517720588676802</v>
      </c>
      <c r="O41" s="50"/>
      <c r="P41" s="124">
        <f>'12-13'!$C47</f>
        <v>-0.18467726989980804</v>
      </c>
      <c r="Q41" s="50"/>
      <c r="R41" s="124">
        <f>'14-15'!$C47</f>
        <v>2.4526976736351926</v>
      </c>
      <c r="S41" s="50"/>
      <c r="T41" s="124">
        <f>'16-17'!$C47</f>
        <v>2.4128970086318695</v>
      </c>
      <c r="U41" s="50"/>
      <c r="V41" s="124">
        <f>'18-19'!$C47</f>
        <v>54.419974918840204</v>
      </c>
      <c r="W41" s="50"/>
      <c r="X41" s="124">
        <f>'20'!$C47</f>
        <v>-55.517720588676802</v>
      </c>
      <c r="Y41" s="50"/>
      <c r="Z41" s="124">
        <f>'21'!$C47</f>
        <v>-5.8991076687925386</v>
      </c>
      <c r="AA41" s="50"/>
      <c r="AB41" s="124">
        <f>'22'!$C47</f>
        <v>-2.4128970086318695</v>
      </c>
      <c r="AC41" s="50"/>
      <c r="AD41" s="124">
        <f>'23'!$C47</f>
        <v>-2.4526976736351926</v>
      </c>
      <c r="AE41" s="50"/>
      <c r="AF41" s="124">
        <f>'24'!$C47</f>
        <v>-6.8648048002898747</v>
      </c>
      <c r="AG41" s="178"/>
    </row>
    <row r="42" spans="2:33" ht="14.65" thickBot="1" x14ac:dyDescent="0.5">
      <c r="B42" s="114">
        <f>Input!C33</f>
        <v>140</v>
      </c>
      <c r="D42" s="183">
        <f>'3'!C48</f>
        <v>64.325370266110582</v>
      </c>
      <c r="E42" s="184"/>
      <c r="F42" s="185">
        <f>'4'!C48</f>
        <v>-64.325370266110582</v>
      </c>
      <c r="G42" s="184"/>
      <c r="H42" s="185">
        <f>'5'!C48</f>
        <v>-10.724901686056278</v>
      </c>
      <c r="I42" s="184"/>
      <c r="J42" s="185">
        <f>'6'!C48</f>
        <v>10.724901686056278</v>
      </c>
      <c r="K42" s="184"/>
      <c r="L42" s="185">
        <f>'8-9'!C48</f>
        <v>8.1273274075246036</v>
      </c>
      <c r="M42" s="186"/>
      <c r="N42" s="185">
        <f>'10-11'!$C48</f>
        <v>60.517720588676802</v>
      </c>
      <c r="O42" s="186"/>
      <c r="P42" s="185">
        <f>'12-13'!$C48</f>
        <v>-0.18467726989980804</v>
      </c>
      <c r="Q42" s="186"/>
      <c r="R42" s="185">
        <f>'14-15'!$C48</f>
        <v>2.4526976736351855</v>
      </c>
      <c r="S42" s="186"/>
      <c r="T42" s="185">
        <f>'16-17'!$C48</f>
        <v>2.4128970086318695</v>
      </c>
      <c r="U42" s="186"/>
      <c r="V42" s="185">
        <f>'18-19'!$C48</f>
        <v>59.419974918840211</v>
      </c>
      <c r="W42" s="186"/>
      <c r="X42" s="185">
        <f>'20'!$C48</f>
        <v>-60.517720588676802</v>
      </c>
      <c r="Y42" s="186"/>
      <c r="Z42" s="185">
        <f>'21'!$C48</f>
        <v>-5.8991076687925386</v>
      </c>
      <c r="AA42" s="186"/>
      <c r="AB42" s="185">
        <f>'22'!$C48</f>
        <v>-2.4128970086318695</v>
      </c>
      <c r="AC42" s="186"/>
      <c r="AD42" s="185">
        <f>'23'!$C48</f>
        <v>-2.4526976736351855</v>
      </c>
      <c r="AE42" s="186"/>
      <c r="AF42" s="185">
        <f>'24'!$C48</f>
        <v>-6.8648048002898747</v>
      </c>
      <c r="AG42" s="187"/>
    </row>
    <row r="43" spans="2:33" x14ac:dyDescent="0.45">
      <c r="B43" s="37"/>
      <c r="C43" s="37"/>
      <c r="D43" s="37"/>
      <c r="E43" s="37"/>
      <c r="F43" s="37"/>
      <c r="G43" s="37"/>
      <c r="H43" s="37"/>
      <c r="I43" s="37"/>
      <c r="J43" s="37"/>
      <c r="K43" s="37"/>
      <c r="L43" s="37"/>
      <c r="M43" s="37"/>
      <c r="N43" s="37"/>
      <c r="O43" s="37"/>
      <c r="P43" s="37"/>
      <c r="Q43" s="37"/>
      <c r="R43" s="37"/>
      <c r="S43" s="37"/>
      <c r="T43" s="37"/>
    </row>
    <row r="44" spans="2:33" x14ac:dyDescent="0.45">
      <c r="B44" s="37"/>
      <c r="C44" s="37"/>
      <c r="D44" s="37"/>
      <c r="E44" s="37"/>
      <c r="F44" s="37"/>
      <c r="G44" s="37"/>
      <c r="H44" s="37"/>
      <c r="I44" s="37"/>
      <c r="K44" s="37"/>
      <c r="M44" s="37"/>
      <c r="O44" s="37"/>
      <c r="Q44" s="37"/>
      <c r="S44" s="37"/>
    </row>
    <row r="45" spans="2:33" x14ac:dyDescent="0.45">
      <c r="B45" s="37"/>
      <c r="C45" s="37"/>
      <c r="D45" s="37"/>
      <c r="E45" s="37"/>
      <c r="F45" s="37"/>
      <c r="G45" s="37"/>
      <c r="H45" s="37"/>
      <c r="I45" s="37"/>
      <c r="K45" s="37"/>
      <c r="M45" s="37"/>
      <c r="O45" s="37"/>
      <c r="Q45" s="37"/>
      <c r="S45" s="37"/>
    </row>
    <row r="46" spans="2:33" x14ac:dyDescent="0.45">
      <c r="B46" s="37"/>
      <c r="C46" s="37"/>
      <c r="D46" s="37"/>
      <c r="E46" s="37"/>
      <c r="F46" s="37"/>
      <c r="G46" s="37"/>
      <c r="H46" s="37"/>
      <c r="I46" s="37"/>
      <c r="K46" s="37"/>
      <c r="M46" s="37"/>
      <c r="O46" s="37"/>
      <c r="Q46" s="37"/>
      <c r="S46" s="37"/>
    </row>
    <row r="47" spans="2:33" x14ac:dyDescent="0.45">
      <c r="B47" s="37"/>
      <c r="C47" s="37"/>
      <c r="D47" s="37"/>
      <c r="E47" s="37"/>
      <c r="F47" s="37"/>
      <c r="G47" s="37"/>
      <c r="H47" s="37"/>
      <c r="I47" s="37"/>
      <c r="K47" s="37"/>
      <c r="M47" s="37"/>
      <c r="O47" s="37"/>
      <c r="Q47" s="37"/>
      <c r="S47" s="37"/>
    </row>
    <row r="48" spans="2:33" x14ac:dyDescent="0.45">
      <c r="B48" s="37"/>
      <c r="C48" s="37"/>
      <c r="D48" s="37"/>
      <c r="E48" s="37"/>
      <c r="F48" s="37"/>
      <c r="G48" s="37"/>
      <c r="H48" s="37"/>
      <c r="I48" s="37"/>
      <c r="K48" s="37"/>
      <c r="M48" s="37"/>
      <c r="O48" s="37"/>
      <c r="Q48" s="37"/>
      <c r="S48" s="37"/>
    </row>
    <row r="49" spans="2:19" x14ac:dyDescent="0.45">
      <c r="B49" s="37"/>
      <c r="C49" s="37"/>
      <c r="D49" s="37"/>
      <c r="E49" s="37"/>
      <c r="F49" s="37"/>
      <c r="G49" s="37"/>
      <c r="H49" s="37"/>
      <c r="I49" s="37"/>
      <c r="K49" s="37"/>
      <c r="M49" s="37"/>
      <c r="O49" s="37"/>
      <c r="Q49" s="37"/>
      <c r="S49" s="37"/>
    </row>
    <row r="50" spans="2:19" x14ac:dyDescent="0.45">
      <c r="E50" s="37"/>
      <c r="G50" s="37"/>
      <c r="I50" s="37"/>
      <c r="K50" s="37"/>
      <c r="M50" s="37"/>
      <c r="O50" s="37"/>
      <c r="Q50" s="37"/>
      <c r="S50" s="37"/>
    </row>
    <row r="51" spans="2:19" x14ac:dyDescent="0.45">
      <c r="E51" s="37"/>
      <c r="G51" s="37"/>
      <c r="I51" s="37"/>
      <c r="K51" s="37"/>
      <c r="M51" s="37"/>
      <c r="O51" s="37"/>
      <c r="Q51" s="37"/>
      <c r="S51" s="37"/>
    </row>
    <row r="52" spans="2:19" x14ac:dyDescent="0.45">
      <c r="E52" s="37"/>
      <c r="G52" s="37"/>
      <c r="I52" s="37"/>
      <c r="K52" s="37"/>
      <c r="M52" s="37"/>
      <c r="O52" s="37"/>
      <c r="Q52" s="37"/>
      <c r="S52" s="37"/>
    </row>
    <row r="53" spans="2:19" x14ac:dyDescent="0.45">
      <c r="E53" s="37"/>
      <c r="G53" s="37"/>
      <c r="I53" s="37"/>
      <c r="K53" s="37"/>
      <c r="M53" s="37"/>
      <c r="O53" s="37"/>
      <c r="Q53" s="37"/>
      <c r="S53" s="37"/>
    </row>
    <row r="54" spans="2:19" x14ac:dyDescent="0.45">
      <c r="E54" s="37"/>
      <c r="G54" s="37"/>
      <c r="I54" s="37"/>
      <c r="K54" s="37"/>
      <c r="M54" s="37"/>
      <c r="O54" s="37"/>
      <c r="Q54" s="37"/>
      <c r="S54" s="37"/>
    </row>
    <row r="55" spans="2:19" x14ac:dyDescent="0.45">
      <c r="E55" s="37"/>
      <c r="G55" s="37"/>
      <c r="I55" s="37"/>
      <c r="K55" s="37"/>
      <c r="M55" s="37"/>
      <c r="O55" s="37"/>
      <c r="Q55" s="37"/>
      <c r="S55" s="37"/>
    </row>
    <row r="56" spans="2:19" x14ac:dyDescent="0.45">
      <c r="E56" s="37"/>
      <c r="G56" s="37"/>
      <c r="I56" s="37"/>
      <c r="K56" s="37"/>
      <c r="M56" s="37"/>
      <c r="O56" s="37"/>
      <c r="Q56" s="37"/>
      <c r="S56" s="37"/>
    </row>
    <row r="57" spans="2:19" x14ac:dyDescent="0.45">
      <c r="E57" s="37"/>
      <c r="G57" s="37"/>
      <c r="I57" s="37"/>
      <c r="K57" s="37"/>
      <c r="M57" s="37"/>
      <c r="O57" s="37"/>
      <c r="Q57" s="37"/>
      <c r="S57" s="37"/>
    </row>
    <row r="58" spans="2:19" x14ac:dyDescent="0.45">
      <c r="E58" s="37"/>
      <c r="G58" s="37"/>
      <c r="I58" s="37"/>
      <c r="K58" s="37"/>
      <c r="M58" s="37"/>
      <c r="O58" s="37"/>
      <c r="Q58" s="37"/>
      <c r="S58" s="37"/>
    </row>
    <row r="59" spans="2:19" x14ac:dyDescent="0.45">
      <c r="E59" s="37"/>
      <c r="G59" s="37"/>
      <c r="I59" s="37"/>
      <c r="K59" s="37"/>
      <c r="M59" s="37"/>
      <c r="O59" s="37"/>
      <c r="Q59" s="37"/>
      <c r="S59" s="37"/>
    </row>
    <row r="60" spans="2:19" x14ac:dyDescent="0.45">
      <c r="E60" s="37"/>
      <c r="G60" s="37"/>
      <c r="I60" s="37"/>
      <c r="K60" s="37"/>
      <c r="M60" s="37"/>
      <c r="O60" s="37"/>
      <c r="Q60" s="37"/>
      <c r="S60" s="37"/>
    </row>
    <row r="61" spans="2:19" x14ac:dyDescent="0.45">
      <c r="E61" s="37"/>
      <c r="G61" s="37"/>
      <c r="I61" s="37"/>
      <c r="K61" s="37"/>
      <c r="M61" s="37"/>
      <c r="O61" s="37"/>
      <c r="Q61" s="37"/>
      <c r="S61" s="37"/>
    </row>
    <row r="62" spans="2:19" x14ac:dyDescent="0.45">
      <c r="E62" s="37"/>
      <c r="G62" s="37"/>
      <c r="I62" s="37"/>
      <c r="K62" s="37"/>
      <c r="M62" s="37"/>
      <c r="O62" s="37"/>
      <c r="Q62" s="37"/>
      <c r="S62" s="37"/>
    </row>
    <row r="63" spans="2:19" x14ac:dyDescent="0.45">
      <c r="E63" s="37"/>
      <c r="G63" s="37"/>
      <c r="I63" s="37"/>
      <c r="K63" s="37"/>
      <c r="M63" s="37"/>
      <c r="O63" s="37"/>
      <c r="Q63" s="37"/>
      <c r="S63" s="37"/>
    </row>
    <row r="64" spans="2:19" x14ac:dyDescent="0.45">
      <c r="E64" s="37"/>
      <c r="G64" s="37"/>
      <c r="I64" s="37"/>
      <c r="K64" s="37"/>
      <c r="M64" s="37"/>
      <c r="O64" s="37"/>
      <c r="Q64" s="37"/>
      <c r="S64" s="37"/>
    </row>
    <row r="65" spans="5:19" x14ac:dyDescent="0.45">
      <c r="E65" s="37"/>
      <c r="G65" s="37"/>
      <c r="I65" s="37"/>
      <c r="K65" s="37"/>
      <c r="M65" s="37"/>
      <c r="O65" s="37"/>
      <c r="Q65" s="37"/>
      <c r="S65" s="37"/>
    </row>
    <row r="66" spans="5:19" x14ac:dyDescent="0.45">
      <c r="E66" s="37"/>
      <c r="G66" s="37"/>
      <c r="I66" s="37"/>
      <c r="K66" s="37"/>
      <c r="M66" s="37"/>
      <c r="O66" s="37"/>
      <c r="Q66" s="37"/>
      <c r="S66" s="37"/>
    </row>
    <row r="67" spans="5:19" x14ac:dyDescent="0.45">
      <c r="E67" s="37"/>
      <c r="G67" s="37"/>
      <c r="I67" s="37"/>
      <c r="K67" s="37"/>
      <c r="M67" s="37"/>
      <c r="O67" s="37"/>
      <c r="Q67" s="37"/>
      <c r="S67" s="37"/>
    </row>
    <row r="68" spans="5:19" x14ac:dyDescent="0.45">
      <c r="E68" s="37"/>
      <c r="G68" s="37"/>
      <c r="I68" s="37"/>
      <c r="K68" s="37"/>
      <c r="M68" s="37"/>
      <c r="O68" s="37"/>
      <c r="Q68" s="37"/>
      <c r="S68" s="37"/>
    </row>
    <row r="69" spans="5:19" x14ac:dyDescent="0.45">
      <c r="E69" s="37"/>
      <c r="G69" s="37"/>
      <c r="I69" s="37"/>
      <c r="K69" s="37"/>
      <c r="M69" s="37"/>
      <c r="O69" s="37"/>
      <c r="Q69" s="37"/>
      <c r="S69" s="37"/>
    </row>
    <row r="70" spans="5:19" x14ac:dyDescent="0.45">
      <c r="E70" s="37"/>
      <c r="G70" s="37"/>
      <c r="I70" s="37"/>
      <c r="K70" s="37"/>
      <c r="M70" s="37"/>
      <c r="O70" s="37"/>
      <c r="Q70" s="37"/>
      <c r="S70" s="37"/>
    </row>
    <row r="71" spans="5:19" x14ac:dyDescent="0.45">
      <c r="E71" s="37"/>
      <c r="G71" s="37"/>
      <c r="I71" s="37"/>
      <c r="K71" s="37"/>
      <c r="M71" s="37"/>
      <c r="O71" s="37"/>
      <c r="Q71" s="37"/>
      <c r="S71" s="37"/>
    </row>
    <row r="72" spans="5:19" x14ac:dyDescent="0.45">
      <c r="E72" s="37"/>
      <c r="G72" s="37"/>
      <c r="I72" s="37"/>
      <c r="K72" s="37"/>
      <c r="M72" s="37"/>
      <c r="O72" s="37"/>
      <c r="Q72" s="37"/>
      <c r="S72" s="37"/>
    </row>
    <row r="73" spans="5:19" x14ac:dyDescent="0.45">
      <c r="E73" s="37"/>
      <c r="G73" s="37"/>
      <c r="I73" s="37"/>
      <c r="K73" s="37"/>
      <c r="M73" s="37"/>
      <c r="O73" s="37"/>
      <c r="Q73" s="37"/>
      <c r="S73" s="37"/>
    </row>
    <row r="74" spans="5:19" x14ac:dyDescent="0.45">
      <c r="E74" s="37"/>
      <c r="G74" s="37"/>
      <c r="I74" s="37"/>
      <c r="K74" s="37"/>
      <c r="M74" s="37"/>
      <c r="O74" s="37"/>
      <c r="Q74" s="37"/>
      <c r="S74" s="37"/>
    </row>
    <row r="75" spans="5:19" x14ac:dyDescent="0.45">
      <c r="E75" s="37"/>
      <c r="G75" s="37"/>
      <c r="I75" s="37"/>
      <c r="K75" s="37"/>
      <c r="M75" s="37"/>
      <c r="O75" s="37"/>
      <c r="Q75" s="37"/>
      <c r="S75" s="37"/>
    </row>
    <row r="76" spans="5:19" x14ac:dyDescent="0.45">
      <c r="E76" s="37"/>
      <c r="G76" s="37"/>
      <c r="I76" s="37"/>
      <c r="K76" s="37"/>
      <c r="M76" s="37"/>
      <c r="O76" s="37"/>
      <c r="Q76" s="37"/>
      <c r="S76" s="37"/>
    </row>
    <row r="77" spans="5:19" x14ac:dyDescent="0.45">
      <c r="E77" s="37"/>
      <c r="G77" s="37"/>
      <c r="I77" s="37"/>
      <c r="K77" s="37"/>
      <c r="M77" s="37"/>
      <c r="O77" s="37"/>
      <c r="Q77" s="37"/>
      <c r="S77" s="37"/>
    </row>
    <row r="78" spans="5:19" x14ac:dyDescent="0.45">
      <c r="E78" s="37"/>
      <c r="G78" s="37"/>
      <c r="I78" s="37"/>
      <c r="K78" s="37"/>
      <c r="M78" s="37"/>
      <c r="O78" s="37"/>
      <c r="Q78" s="37"/>
      <c r="S78" s="37"/>
    </row>
    <row r="79" spans="5:19" x14ac:dyDescent="0.45">
      <c r="E79" s="37"/>
      <c r="G79" s="37"/>
      <c r="I79" s="37"/>
      <c r="K79" s="37"/>
      <c r="M79" s="37"/>
      <c r="O79" s="37"/>
      <c r="Q79" s="37"/>
      <c r="S79" s="37"/>
    </row>
    <row r="80" spans="5:19" x14ac:dyDescent="0.45">
      <c r="E80" s="37"/>
      <c r="G80" s="37"/>
      <c r="I80" s="37"/>
      <c r="K80" s="37"/>
      <c r="M80" s="37"/>
      <c r="O80" s="37"/>
      <c r="Q80" s="37"/>
      <c r="S80" s="37"/>
    </row>
    <row r="81" spans="5:19" x14ac:dyDescent="0.45">
      <c r="E81" s="37"/>
      <c r="G81" s="37"/>
      <c r="I81" s="37"/>
      <c r="K81" s="37"/>
      <c r="M81" s="37"/>
      <c r="O81" s="37"/>
      <c r="Q81" s="37"/>
      <c r="S81" s="37"/>
    </row>
    <row r="82" spans="5:19" x14ac:dyDescent="0.45">
      <c r="E82" s="37"/>
      <c r="G82" s="37"/>
      <c r="I82" s="37"/>
      <c r="K82" s="37"/>
      <c r="M82" s="37"/>
      <c r="O82" s="37"/>
      <c r="Q82" s="37"/>
      <c r="S82" s="37"/>
    </row>
    <row r="83" spans="5:19" x14ac:dyDescent="0.45">
      <c r="E83" s="37"/>
      <c r="G83" s="37"/>
      <c r="I83" s="37"/>
      <c r="K83" s="37"/>
      <c r="M83" s="37"/>
      <c r="O83" s="37"/>
      <c r="Q83" s="37"/>
      <c r="S83" s="37"/>
    </row>
    <row r="84" spans="5:19" x14ac:dyDescent="0.45">
      <c r="E84" s="37"/>
      <c r="G84" s="37"/>
      <c r="I84" s="37"/>
      <c r="K84" s="37"/>
      <c r="M84" s="37"/>
      <c r="O84" s="37"/>
      <c r="Q84" s="37"/>
      <c r="S84" s="37"/>
    </row>
    <row r="85" spans="5:19" x14ac:dyDescent="0.45">
      <c r="E85" s="37"/>
      <c r="G85" s="37"/>
      <c r="I85" s="37"/>
      <c r="K85" s="37"/>
      <c r="M85" s="37"/>
      <c r="O85" s="37"/>
      <c r="Q85" s="37"/>
      <c r="S85" s="37"/>
    </row>
    <row r="86" spans="5:19" x14ac:dyDescent="0.45">
      <c r="E86" s="37"/>
      <c r="G86" s="37"/>
      <c r="I86" s="37"/>
      <c r="K86" s="37"/>
      <c r="M86" s="37"/>
      <c r="O86" s="37"/>
      <c r="Q86" s="37"/>
      <c r="S86" s="37"/>
    </row>
    <row r="87" spans="5:19" x14ac:dyDescent="0.45">
      <c r="E87" s="37"/>
      <c r="G87" s="37"/>
      <c r="I87" s="37"/>
      <c r="K87" s="37"/>
      <c r="M87" s="37"/>
      <c r="O87" s="37"/>
      <c r="Q87" s="37"/>
      <c r="S87" s="37"/>
    </row>
    <row r="88" spans="5:19" x14ac:dyDescent="0.45">
      <c r="E88" s="37"/>
      <c r="G88" s="37"/>
      <c r="I88" s="37"/>
      <c r="K88" s="37"/>
      <c r="M88" s="37"/>
      <c r="O88" s="37"/>
      <c r="Q88" s="37"/>
      <c r="S88" s="37"/>
    </row>
    <row r="89" spans="5:19" x14ac:dyDescent="0.45">
      <c r="E89" s="37"/>
      <c r="G89" s="37"/>
      <c r="I89" s="37"/>
      <c r="K89" s="37"/>
      <c r="M89" s="37"/>
      <c r="O89" s="37"/>
      <c r="Q89" s="37"/>
      <c r="S89" s="37"/>
    </row>
    <row r="90" spans="5:19" x14ac:dyDescent="0.45">
      <c r="E90" s="37"/>
      <c r="G90" s="37"/>
      <c r="I90" s="37"/>
      <c r="K90" s="37"/>
      <c r="M90" s="37"/>
      <c r="O90" s="37"/>
      <c r="Q90" s="37"/>
      <c r="S90" s="37"/>
    </row>
    <row r="91" spans="5:19" x14ac:dyDescent="0.45">
      <c r="E91" s="37"/>
      <c r="G91" s="37"/>
      <c r="I91" s="37"/>
      <c r="K91" s="37"/>
      <c r="M91" s="37"/>
      <c r="O91" s="37"/>
      <c r="Q91" s="37"/>
      <c r="S91" s="37"/>
    </row>
    <row r="92" spans="5:19" x14ac:dyDescent="0.45">
      <c r="E92" s="37"/>
      <c r="G92" s="37"/>
      <c r="I92" s="37"/>
      <c r="K92" s="37"/>
      <c r="M92" s="37"/>
      <c r="O92" s="37"/>
      <c r="Q92" s="37"/>
      <c r="S92" s="37"/>
    </row>
    <row r="93" spans="5:19" x14ac:dyDescent="0.45">
      <c r="E93" s="37"/>
      <c r="G93" s="37"/>
      <c r="I93" s="37"/>
      <c r="K93" s="37"/>
      <c r="M93" s="37"/>
      <c r="O93" s="37"/>
      <c r="Q93" s="37"/>
      <c r="S93" s="37"/>
    </row>
    <row r="94" spans="5:19" x14ac:dyDescent="0.45">
      <c r="E94" s="37"/>
      <c r="G94" s="37"/>
      <c r="I94" s="37"/>
      <c r="K94" s="37"/>
      <c r="M94" s="37"/>
      <c r="O94" s="37"/>
      <c r="Q94" s="37"/>
      <c r="S94" s="37"/>
    </row>
    <row r="95" spans="5:19" x14ac:dyDescent="0.45">
      <c r="E95" s="37"/>
      <c r="G95" s="37"/>
      <c r="I95" s="37"/>
      <c r="K95" s="37"/>
      <c r="M95" s="37"/>
      <c r="O95" s="37"/>
      <c r="Q95" s="37"/>
      <c r="S95" s="37"/>
    </row>
    <row r="96" spans="5:19" x14ac:dyDescent="0.45">
      <c r="E96" s="37"/>
      <c r="G96" s="37"/>
      <c r="I96" s="37"/>
      <c r="K96" s="37"/>
      <c r="M96" s="37"/>
      <c r="O96" s="37"/>
      <c r="Q96" s="37"/>
      <c r="S96" s="37"/>
    </row>
    <row r="97" spans="5:19" x14ac:dyDescent="0.45">
      <c r="E97" s="37"/>
      <c r="G97" s="37"/>
      <c r="I97" s="37"/>
      <c r="K97" s="37"/>
      <c r="M97" s="37"/>
      <c r="O97" s="37"/>
      <c r="Q97" s="37"/>
      <c r="S97" s="37"/>
    </row>
    <row r="98" spans="5:19" x14ac:dyDescent="0.45">
      <c r="E98" s="37"/>
      <c r="G98" s="37"/>
      <c r="I98" s="37"/>
      <c r="K98" s="37"/>
      <c r="M98" s="37"/>
      <c r="O98" s="37"/>
      <c r="Q98" s="37"/>
      <c r="S98" s="37"/>
    </row>
    <row r="99" spans="5:19" x14ac:dyDescent="0.45">
      <c r="E99" s="37"/>
      <c r="G99" s="37"/>
      <c r="I99" s="37"/>
      <c r="K99" s="37"/>
      <c r="M99" s="37"/>
      <c r="O99" s="37"/>
      <c r="Q99" s="37"/>
      <c r="S99" s="37"/>
    </row>
    <row r="100" spans="5:19" x14ac:dyDescent="0.45">
      <c r="E100" s="37"/>
      <c r="G100" s="37"/>
      <c r="I100" s="37"/>
      <c r="K100" s="37"/>
      <c r="M100" s="37"/>
      <c r="O100" s="37"/>
      <c r="Q100" s="37"/>
      <c r="S100" s="37"/>
    </row>
    <row r="101" spans="5:19" x14ac:dyDescent="0.45">
      <c r="E101" s="37"/>
      <c r="G101" s="37"/>
      <c r="I101" s="37"/>
      <c r="K101" s="37"/>
      <c r="M101" s="37"/>
      <c r="O101" s="37"/>
      <c r="Q101" s="37"/>
      <c r="S101" s="37"/>
    </row>
    <row r="102" spans="5:19" x14ac:dyDescent="0.45">
      <c r="E102" s="37"/>
      <c r="G102" s="37"/>
      <c r="I102" s="37"/>
      <c r="K102" s="37"/>
      <c r="M102" s="37"/>
      <c r="O102" s="37"/>
      <c r="Q102" s="37"/>
      <c r="S102" s="37"/>
    </row>
    <row r="103" spans="5:19" x14ac:dyDescent="0.45">
      <c r="E103" s="37"/>
      <c r="G103" s="37"/>
      <c r="I103" s="37"/>
      <c r="K103" s="37"/>
      <c r="M103" s="37"/>
      <c r="O103" s="37"/>
      <c r="Q103" s="37"/>
      <c r="S103" s="37"/>
    </row>
    <row r="104" spans="5:19" x14ac:dyDescent="0.45">
      <c r="E104" s="37"/>
      <c r="G104" s="37"/>
      <c r="I104" s="37"/>
      <c r="K104" s="37"/>
      <c r="M104" s="37"/>
      <c r="O104" s="37"/>
      <c r="Q104" s="37"/>
      <c r="S104" s="37"/>
    </row>
    <row r="105" spans="5:19" x14ac:dyDescent="0.45">
      <c r="E105" s="37"/>
      <c r="G105" s="37"/>
      <c r="I105" s="37"/>
      <c r="K105" s="37"/>
      <c r="M105" s="37"/>
      <c r="O105" s="37"/>
      <c r="Q105" s="37"/>
      <c r="S105" s="37"/>
    </row>
    <row r="106" spans="5:19" x14ac:dyDescent="0.45">
      <c r="E106" s="37"/>
      <c r="G106" s="37"/>
      <c r="I106" s="37"/>
      <c r="K106" s="37"/>
      <c r="M106" s="37"/>
      <c r="O106" s="37"/>
      <c r="Q106" s="37"/>
      <c r="S106" s="37"/>
    </row>
    <row r="107" spans="5:19" x14ac:dyDescent="0.45">
      <c r="E107" s="37"/>
      <c r="G107" s="37"/>
      <c r="I107" s="37"/>
      <c r="K107" s="37"/>
      <c r="M107" s="37"/>
      <c r="O107" s="37"/>
      <c r="Q107" s="37"/>
      <c r="S107" s="37"/>
    </row>
    <row r="108" spans="5:19" x14ac:dyDescent="0.45">
      <c r="E108" s="37"/>
      <c r="G108" s="37"/>
      <c r="I108" s="37"/>
      <c r="K108" s="37"/>
      <c r="M108" s="37"/>
      <c r="O108" s="37"/>
      <c r="Q108" s="37"/>
      <c r="S108" s="37"/>
    </row>
    <row r="109" spans="5:19" x14ac:dyDescent="0.45">
      <c r="E109" s="37"/>
      <c r="G109" s="37"/>
      <c r="I109" s="37"/>
      <c r="K109" s="37"/>
      <c r="M109" s="37"/>
      <c r="O109" s="37"/>
      <c r="Q109" s="37"/>
      <c r="S109" s="37"/>
    </row>
    <row r="110" spans="5:19" x14ac:dyDescent="0.45">
      <c r="E110" s="37"/>
      <c r="G110" s="37"/>
      <c r="I110" s="37"/>
      <c r="K110" s="37"/>
      <c r="M110" s="37"/>
      <c r="O110" s="37"/>
      <c r="Q110" s="37"/>
      <c r="S110" s="37"/>
    </row>
    <row r="111" spans="5:19" x14ac:dyDescent="0.45">
      <c r="E111" s="37"/>
      <c r="G111" s="37"/>
      <c r="I111" s="37"/>
      <c r="K111" s="37"/>
      <c r="M111" s="37"/>
      <c r="O111" s="37"/>
      <c r="Q111" s="37"/>
      <c r="S111" s="37"/>
    </row>
    <row r="112" spans="5:19" x14ac:dyDescent="0.45">
      <c r="E112" s="37"/>
      <c r="G112" s="37"/>
      <c r="I112" s="37"/>
      <c r="K112" s="37"/>
      <c r="M112" s="37"/>
      <c r="O112" s="37"/>
      <c r="Q112" s="37"/>
      <c r="S112" s="37"/>
    </row>
  </sheetData>
  <conditionalFormatting sqref="E14:E42 A13 G14:G42 I14:I42 K14:K42 M14:M42 O14:O42 Q14:Q42 S14:S42 U14:U42 W14:W42 Y14:Y42 AA14:AA42 AC14:AC42 AE14:AE42 AG14:AG42 A43:AG43 A113:XFD1048576 A44:A49 I44:AG49 F9:XFD9 A50:AG112 CJ13:XFD112 AH29:CI112 H1:XFD1 A12:XFD12 A1:A11 L2:XFD8 A14:B42 H10:XFD11 H2:J8 E4:F8">
    <cfRule type="containsBlanks" dxfId="262" priority="33">
      <formula>LEN(TRIM(A1))=0</formula>
    </cfRule>
  </conditionalFormatting>
  <conditionalFormatting sqref="D13:AG13">
    <cfRule type="containsBlanks" dxfId="261" priority="31">
      <formula>LEN(TRIM(D13))=0</formula>
    </cfRule>
  </conditionalFormatting>
  <conditionalFormatting sqref="D14:D42">
    <cfRule type="containsBlanks" dxfId="260" priority="30">
      <formula>LEN(TRIM(D14))=0</formula>
    </cfRule>
  </conditionalFormatting>
  <conditionalFormatting sqref="F14:F42">
    <cfRule type="containsBlanks" dxfId="259" priority="29">
      <formula>LEN(TRIM(F14))=0</formula>
    </cfRule>
  </conditionalFormatting>
  <conditionalFormatting sqref="H14:H42">
    <cfRule type="containsBlanks" dxfId="258" priority="28">
      <formula>LEN(TRIM(H14))=0</formula>
    </cfRule>
  </conditionalFormatting>
  <conditionalFormatting sqref="J14:J42">
    <cfRule type="containsBlanks" dxfId="257" priority="27">
      <formula>LEN(TRIM(J14))=0</formula>
    </cfRule>
  </conditionalFormatting>
  <conditionalFormatting sqref="L14:L42">
    <cfRule type="containsBlanks" dxfId="256" priority="26">
      <formula>LEN(TRIM(L14))=0</formula>
    </cfRule>
  </conditionalFormatting>
  <conditionalFormatting sqref="N14:N42">
    <cfRule type="containsBlanks" dxfId="255" priority="25">
      <formula>LEN(TRIM(N14))=0</formula>
    </cfRule>
  </conditionalFormatting>
  <conditionalFormatting sqref="P14:P42">
    <cfRule type="containsBlanks" dxfId="254" priority="24">
      <formula>LEN(TRIM(P14))=0</formula>
    </cfRule>
  </conditionalFormatting>
  <conditionalFormatting sqref="R14:R42">
    <cfRule type="containsBlanks" dxfId="253" priority="23">
      <formula>LEN(TRIM(R14))=0</formula>
    </cfRule>
  </conditionalFormatting>
  <conditionalFormatting sqref="T14:T42">
    <cfRule type="containsBlanks" dxfId="252" priority="22">
      <formula>LEN(TRIM(T14))=0</formula>
    </cfRule>
  </conditionalFormatting>
  <conditionalFormatting sqref="V14:V42">
    <cfRule type="containsBlanks" dxfId="251" priority="21">
      <formula>LEN(TRIM(V14))=0</formula>
    </cfRule>
  </conditionalFormatting>
  <conditionalFormatting sqref="X14:X42">
    <cfRule type="containsBlanks" dxfId="250" priority="20">
      <formula>LEN(TRIM(X14))=0</formula>
    </cfRule>
  </conditionalFormatting>
  <conditionalFormatting sqref="Z14:Z42">
    <cfRule type="containsBlanks" dxfId="249" priority="19">
      <formula>LEN(TRIM(Z14))=0</formula>
    </cfRule>
  </conditionalFormatting>
  <conditionalFormatting sqref="AB14:AB42">
    <cfRule type="containsBlanks" dxfId="248" priority="18">
      <formula>LEN(TRIM(AB14))=0</formula>
    </cfRule>
  </conditionalFormatting>
  <conditionalFormatting sqref="AD14:AD42">
    <cfRule type="containsBlanks" dxfId="247" priority="17">
      <formula>LEN(TRIM(AD14))=0</formula>
    </cfRule>
  </conditionalFormatting>
  <conditionalFormatting sqref="AF14:AF42">
    <cfRule type="containsBlanks" dxfId="246" priority="16">
      <formula>LEN(TRIM(AF14))=0</formula>
    </cfRule>
  </conditionalFormatting>
  <conditionalFormatting sqref="B9:E9">
    <cfRule type="containsBlanks" dxfId="245" priority="15">
      <formula>LEN(TRIM(B9))=0</formula>
    </cfRule>
  </conditionalFormatting>
  <conditionalFormatting sqref="B44:H49">
    <cfRule type="containsBlanks" dxfId="244" priority="14">
      <formula>LEN(TRIM(B44))=0</formula>
    </cfRule>
  </conditionalFormatting>
  <conditionalFormatting sqref="AH13:CI27 AH28:AO28 AQ28:CI28">
    <cfRule type="containsBlanks" dxfId="243" priority="13">
      <formula>LEN(TRIM(AH13))=0</formula>
    </cfRule>
  </conditionalFormatting>
  <conditionalFormatting sqref="AP28">
    <cfRule type="containsBlanks" dxfId="242" priority="12">
      <formula>LEN(TRIM(AP28))=0</formula>
    </cfRule>
  </conditionalFormatting>
  <conditionalFormatting sqref="C13:C42">
    <cfRule type="containsBlanks" dxfId="241" priority="11">
      <formula>LEN(TRIM(C13))=0</formula>
    </cfRule>
  </conditionalFormatting>
  <conditionalFormatting sqref="B1:G1 B3:G3 C2:G2">
    <cfRule type="containsBlanks" dxfId="240" priority="10">
      <formula>LEN(TRIM(B1))=0</formula>
    </cfRule>
  </conditionalFormatting>
  <conditionalFormatting sqref="K2:K8">
    <cfRule type="containsBlanks" dxfId="239" priority="9">
      <formula>LEN(TRIM(K2))=0</formula>
    </cfRule>
  </conditionalFormatting>
  <conditionalFormatting sqref="B11:G11 C10:G10">
    <cfRule type="containsBlanks" dxfId="238" priority="8">
      <formula>LEN(TRIM(B10))=0</formula>
    </cfRule>
  </conditionalFormatting>
  <conditionalFormatting sqref="B2">
    <cfRule type="containsBlanks" dxfId="237" priority="7">
      <formula>LEN(TRIM(B2))=0</formula>
    </cfRule>
  </conditionalFormatting>
  <conditionalFormatting sqref="B4:B8">
    <cfRule type="containsBlanks" dxfId="236" priority="6">
      <formula>LEN(TRIM(B4))=0</formula>
    </cfRule>
  </conditionalFormatting>
  <conditionalFormatting sqref="B13">
    <cfRule type="containsBlanks" dxfId="235" priority="4">
      <formula>LEN(TRIM(B13))=0</formula>
    </cfRule>
  </conditionalFormatting>
  <conditionalFormatting sqref="C4:D8">
    <cfRule type="containsBlanks" dxfId="234" priority="3">
      <formula>LEN(TRIM(C4))=0</formula>
    </cfRule>
  </conditionalFormatting>
  <conditionalFormatting sqref="B10">
    <cfRule type="containsBlanks" dxfId="233" priority="2">
      <formula>LEN(TRIM(B10))=0</formula>
    </cfRule>
  </conditionalFormatting>
  <conditionalFormatting sqref="G4:G8">
    <cfRule type="containsBlanks" dxfId="232" priority="1">
      <formula>LEN(TRIM(G4))=0</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B9765-6ACB-4552-AE48-54154258DB66}">
  <sheetPr>
    <tabColor theme="5" tint="0.39997558519241921"/>
  </sheetPr>
  <dimension ref="B2:AH20"/>
  <sheetViews>
    <sheetView showGridLines="0" zoomScale="73" zoomScaleNormal="73" workbookViewId="0">
      <selection activeCell="E14" sqref="E14"/>
    </sheetView>
  </sheetViews>
  <sheetFormatPr baseColWidth="10" defaultColWidth="9.1328125" defaultRowHeight="14.25" outlineLevelCol="1" x14ac:dyDescent="0.45"/>
  <cols>
    <col min="1" max="1" width="4" style="43" customWidth="1"/>
    <col min="2" max="2" width="21.86328125" style="43" bestFit="1" customWidth="1"/>
    <col min="3" max="3" width="14.86328125" style="43" customWidth="1"/>
    <col min="4" max="4" width="1.86328125" style="43" customWidth="1" outlineLevel="1"/>
    <col min="5" max="5" width="13.265625" style="44" customWidth="1" outlineLevel="1"/>
    <col min="6" max="6" width="1.86328125" style="43" customWidth="1" outlineLevel="1"/>
    <col min="7" max="7" width="13.265625" style="44" customWidth="1" outlineLevel="1"/>
    <col min="8" max="8" width="1.86328125" style="43" customWidth="1" outlineLevel="1"/>
    <col min="9" max="9" width="13.265625" style="44" customWidth="1" outlineLevel="1"/>
    <col min="10" max="10" width="1.86328125" style="43" customWidth="1" outlineLevel="1"/>
    <col min="11" max="11" width="13.265625" style="44" customWidth="1" outlineLevel="1"/>
    <col min="12" max="12" width="1.86328125" style="43" customWidth="1" outlineLevel="1"/>
    <col min="13" max="13" width="13.265625" style="44" customWidth="1" outlineLevel="1"/>
    <col min="14" max="14" width="1.86328125" style="43" customWidth="1" outlineLevel="1"/>
    <col min="15" max="15" width="13.265625" style="44" customWidth="1" outlineLevel="1"/>
    <col min="16" max="16" width="1.86328125" style="43" customWidth="1" outlineLevel="1"/>
    <col min="17" max="17" width="13.265625" style="43" customWidth="1" outlineLevel="1"/>
    <col min="18" max="18" width="1.86328125" style="43" customWidth="1" outlineLevel="1"/>
    <col min="19" max="19" width="13.265625" style="44" customWidth="1" outlineLevel="1"/>
    <col min="20" max="20" width="1.86328125" style="43" customWidth="1" outlineLevel="1"/>
    <col min="21" max="21" width="13.265625" style="44" customWidth="1" outlineLevel="1"/>
    <col min="22" max="22" width="1.86328125" style="43" customWidth="1" outlineLevel="1"/>
    <col min="23" max="23" width="13.265625" style="44" customWidth="1" outlineLevel="1"/>
    <col min="24" max="24" width="1.86328125" style="43" customWidth="1" outlineLevel="1"/>
    <col min="25" max="25" width="13.265625" style="44" customWidth="1" outlineLevel="1"/>
    <col min="26" max="26" width="1.86328125" style="43" customWidth="1" outlineLevel="1"/>
    <col min="27" max="27" width="13.265625" style="44" customWidth="1"/>
    <col min="28" max="28" width="1.86328125" style="43" customWidth="1"/>
    <col min="29" max="29" width="13.265625" style="44" customWidth="1"/>
    <col min="30" max="30" width="1.86328125" style="43" customWidth="1"/>
    <col min="31" max="31" width="13.265625" style="44" customWidth="1"/>
    <col min="32" max="32" width="1.86328125" style="43" customWidth="1"/>
    <col min="33" max="33" width="13.265625" style="44" customWidth="1"/>
    <col min="34" max="34" width="1.86328125" style="43" customWidth="1"/>
    <col min="35" max="16384" width="9.1328125" style="43"/>
  </cols>
  <sheetData>
    <row r="2" spans="2:34" ht="25.5" x14ac:dyDescent="0.75">
      <c r="B2" s="174" t="s">
        <v>264</v>
      </c>
    </row>
    <row r="3" spans="2:34" ht="14.65" thickBot="1" x14ac:dyDescent="0.5"/>
    <row r="4" spans="2:34" s="45" customFormat="1" ht="45.75" customHeight="1" x14ac:dyDescent="0.45">
      <c r="B4" s="32" t="s">
        <v>163</v>
      </c>
      <c r="C4" s="32" t="s">
        <v>254</v>
      </c>
      <c r="D4" s="188"/>
      <c r="E4" s="76" t="str">
        <f>'43 Grund, Bullish und Bearish'!E13</f>
        <v>Long Call Average</v>
      </c>
      <c r="F4" s="32"/>
      <c r="G4" s="32" t="str">
        <f>'43 Grund, Bullish und Bearish'!G13</f>
        <v>Short Call Average</v>
      </c>
      <c r="H4" s="189"/>
      <c r="I4" s="76" t="str">
        <f>'43 Grund, Bullish und Bearish'!I13</f>
        <v>Long Put Average</v>
      </c>
      <c r="J4" s="32"/>
      <c r="K4" s="32" t="str">
        <f>'43 Grund, Bullish und Bearish'!K13</f>
        <v>Short Put Average</v>
      </c>
      <c r="L4" s="32"/>
      <c r="M4" s="32" t="str">
        <f>'43 Grund, Bullish und Bearish'!M13</f>
        <v>Covered Call OTM Average</v>
      </c>
      <c r="N4" s="32"/>
      <c r="O4" s="32" t="str">
        <f>'43 Grund, Bullish und Bearish'!O13</f>
        <v>Protective Put Average</v>
      </c>
      <c r="P4" s="32"/>
      <c r="Q4" s="32" t="str">
        <f>'43 Grund, Bullish und Bearish'!Q13</f>
        <v>Collar Strategy Average</v>
      </c>
      <c r="R4" s="32"/>
      <c r="S4" s="32" t="str">
        <f>'43 Grund, Bullish und Bearish'!S13</f>
        <v>Bull Call Spread Average</v>
      </c>
      <c r="T4" s="32"/>
      <c r="U4" s="32" t="str">
        <f>'43 Grund, Bullish und Bearish'!U13</f>
        <v>Bull Put Spread Average</v>
      </c>
      <c r="V4" s="32"/>
      <c r="W4" s="32" t="str">
        <f>'43 Grund, Bullish und Bearish'!W13</f>
        <v>Call Backspread Average</v>
      </c>
      <c r="X4" s="32"/>
      <c r="Y4" s="32" t="str">
        <f>'43 Grund, Bullish und Bearish'!Y13</f>
        <v>Covered Put Average</v>
      </c>
      <c r="Z4" s="32"/>
      <c r="AA4" s="32" t="str">
        <f>'43 Grund, Bullish und Bearish'!AA13</f>
        <v>Put Backspread Average</v>
      </c>
      <c r="AB4" s="32"/>
      <c r="AC4" s="190" t="str">
        <f>'43 Grund, Bullish und Bearish'!AC13</f>
        <v>Bear Put Spread Average</v>
      </c>
      <c r="AD4" s="32"/>
      <c r="AE4" s="32" t="str">
        <f>'43 Grund, Bullish und Bearish'!AE13</f>
        <v>Bear Call Spread Average</v>
      </c>
      <c r="AF4" s="32"/>
      <c r="AG4" s="32" t="str">
        <f>'43 Grund, Bullish und Bearish'!AG13</f>
        <v>Protective Call Average</v>
      </c>
      <c r="AH4" s="175"/>
    </row>
    <row r="5" spans="2:34" x14ac:dyDescent="0.45">
      <c r="B5" s="208" t="s">
        <v>168</v>
      </c>
      <c r="C5" s="218" t="s">
        <v>169</v>
      </c>
      <c r="D5" s="77"/>
      <c r="E5" s="297">
        <f>'43 Grund, Bullish und Bearish'!E14</f>
        <v>-7.6746297338894109</v>
      </c>
      <c r="F5" s="42"/>
      <c r="G5" s="200">
        <f>'43 Grund, Bullish und Bearish'!G14</f>
        <v>7.6746297338894109</v>
      </c>
      <c r="H5" s="42"/>
      <c r="I5" s="114">
        <f>'43 Grund, Bullish und Bearish'!I14</f>
        <v>46.275098313943722</v>
      </c>
      <c r="J5" s="42"/>
      <c r="K5" s="297">
        <f>'43 Grund, Bullish und Bearish'!K14</f>
        <v>-46.275098313943722</v>
      </c>
      <c r="L5" s="42"/>
      <c r="M5" s="203">
        <f>'43 Grund, Bullish und Bearish'!M14</f>
        <v>-48.872672592475396</v>
      </c>
      <c r="N5" s="42"/>
      <c r="O5" s="297">
        <f>'43 Grund, Bullish und Bearish'!O14</f>
        <v>-9.4822794113231996</v>
      </c>
      <c r="P5" s="42"/>
      <c r="Q5" s="297">
        <f>'43 Grund, Bullish und Bearish'!Q14</f>
        <v>-4.1846772698998072</v>
      </c>
      <c r="R5" s="42"/>
      <c r="S5" s="297">
        <f>'43 Grund, Bullish und Bearish'!S14</f>
        <v>-1.5473023263648074</v>
      </c>
      <c r="T5" s="42"/>
      <c r="U5" s="297">
        <f>'43 Grund, Bullish und Bearish'!U14</f>
        <v>-1.5871029913681336</v>
      </c>
      <c r="V5" s="42"/>
      <c r="W5" s="297">
        <f>'43 Grund, Bullish und Bearish'!W14</f>
        <v>-4.5800250811597962</v>
      </c>
      <c r="X5" s="42"/>
      <c r="Y5" s="200">
        <f>'43 Grund, Bullish und Bearish'!Y14</f>
        <v>9.4822794113231996</v>
      </c>
      <c r="Z5" s="42"/>
      <c r="AA5" s="200">
        <f>'43 Grund, Bullish und Bearish'!AA14</f>
        <v>43.100892331207447</v>
      </c>
      <c r="AB5" s="81"/>
      <c r="AC5" s="200">
        <f>'43 Grund, Bullish und Bearish'!AC14</f>
        <v>1.5871029913681336</v>
      </c>
      <c r="AD5" s="42"/>
      <c r="AE5" s="200">
        <f>'43 Grund, Bullish und Bearish'!AE14</f>
        <v>1.5473023263648074</v>
      </c>
      <c r="AF5" s="42"/>
      <c r="AG5" s="207">
        <f>'43 Grund, Bullish und Bearish'!AG14</f>
        <v>48.135195199710111</v>
      </c>
      <c r="AH5" s="177"/>
    </row>
    <row r="6" spans="2:34" x14ac:dyDescent="0.45">
      <c r="B6" s="191" t="s">
        <v>167</v>
      </c>
      <c r="C6" s="219" t="s">
        <v>170</v>
      </c>
      <c r="D6" s="77"/>
      <c r="E6" s="297">
        <f>'43 Grund, Bullish und Bearish'!E20</f>
        <v>-7.6746297338894109</v>
      </c>
      <c r="F6" s="41"/>
      <c r="G6" s="200">
        <f>'43 Grund, Bullish und Bearish'!G20</f>
        <v>7.6746297338894109</v>
      </c>
      <c r="H6" s="41"/>
      <c r="I6" s="200">
        <f>'43 Grund, Bullish und Bearish'!I20</f>
        <v>18.775098313943719</v>
      </c>
      <c r="J6" s="41"/>
      <c r="K6" s="203">
        <f>'43 Grund, Bullish und Bearish'!K20</f>
        <v>-18.775098313943719</v>
      </c>
      <c r="L6" s="41"/>
      <c r="M6" s="297">
        <f>'43 Grund, Bullish und Bearish'!M20</f>
        <v>-21.372672592475396</v>
      </c>
      <c r="N6" s="41"/>
      <c r="O6" s="297">
        <f>'43 Grund, Bullish und Bearish'!O20</f>
        <v>-9.4822794113231978</v>
      </c>
      <c r="P6" s="41"/>
      <c r="Q6" s="297">
        <f>'43 Grund, Bullish und Bearish'!Q20</f>
        <v>-4.1846772698998045</v>
      </c>
      <c r="R6" s="41"/>
      <c r="S6" s="297">
        <f>'43 Grund, Bullish und Bearish'!S20</f>
        <v>-1.5473023263648074</v>
      </c>
      <c r="T6" s="41"/>
      <c r="U6" s="297">
        <f>'43 Grund, Bullish und Bearish'!U20</f>
        <v>-1.5871029913681305</v>
      </c>
      <c r="V6" s="41"/>
      <c r="W6" s="297">
        <f>'43 Grund, Bullish und Bearish'!W20</f>
        <v>-4.5800250811597962</v>
      </c>
      <c r="X6" s="41"/>
      <c r="Y6" s="200">
        <f>'43 Grund, Bullish und Bearish'!Y20</f>
        <v>9.4822794113231978</v>
      </c>
      <c r="Z6" s="41"/>
      <c r="AA6" s="200">
        <f>'43 Grund, Bullish und Bearish'!AA20</f>
        <v>15.600892331207461</v>
      </c>
      <c r="AB6" s="80"/>
      <c r="AC6" s="200">
        <f>'43 Grund, Bullish und Bearish'!AC20</f>
        <v>1.5871029913681305</v>
      </c>
      <c r="AD6" s="41"/>
      <c r="AE6" s="200">
        <f>'43 Grund, Bullish und Bearish'!AE20</f>
        <v>1.5473023263648074</v>
      </c>
      <c r="AF6" s="41"/>
      <c r="AG6" s="207">
        <f>'43 Grund, Bullish und Bearish'!AG20</f>
        <v>20.635195199710125</v>
      </c>
      <c r="AH6" s="179"/>
    </row>
    <row r="7" spans="2:34" x14ac:dyDescent="0.45">
      <c r="B7" s="192" t="s">
        <v>166</v>
      </c>
      <c r="C7" s="220" t="s">
        <v>171</v>
      </c>
      <c r="D7" s="77"/>
      <c r="E7" s="297">
        <f>'43 Grund, Bullish und Bearish'!E25</f>
        <v>-2.2460583053179826</v>
      </c>
      <c r="F7" s="40"/>
      <c r="G7" s="200">
        <f>'43 Grund, Bullish und Bearish'!G25</f>
        <v>2.2460583053179826</v>
      </c>
      <c r="H7" s="40"/>
      <c r="I7" s="203">
        <f>'43 Grund, Bullish und Bearish'!I25</f>
        <v>-5.2963302574848488</v>
      </c>
      <c r="J7" s="40"/>
      <c r="K7" s="205">
        <f>'43 Grund, Bullish und Bearish'!K25</f>
        <v>5.2963302574848488</v>
      </c>
      <c r="L7" s="40"/>
      <c r="M7" s="114">
        <f>'43 Grund, Bullish und Bearish'!M25</f>
        <v>2.6987559789531752</v>
      </c>
      <c r="N7" s="40"/>
      <c r="O7" s="297">
        <f>'43 Grund, Bullish und Bearish'!O25</f>
        <v>-5.1965651256089123</v>
      </c>
      <c r="P7" s="40"/>
      <c r="Q7" s="297">
        <f>'43 Grund, Bullish und Bearish'!Q25</f>
        <v>-2.1846772698998045</v>
      </c>
      <c r="R7" s="40"/>
      <c r="S7" s="200">
        <f>'43 Grund, Bullish und Bearish'!S25</f>
        <v>0.45269767363519264</v>
      </c>
      <c r="T7" s="40"/>
      <c r="U7" s="200">
        <f>'43 Grund, Bullish und Bearish'!U25</f>
        <v>0.41289700863186951</v>
      </c>
      <c r="V7" s="40"/>
      <c r="W7" s="297">
        <f>'43 Grund, Bullish und Bearish'!W25</f>
        <v>-3.1514536525883678</v>
      </c>
      <c r="X7" s="40"/>
      <c r="Y7" s="200">
        <f>'43 Grund, Bullish und Bearish'!Y25</f>
        <v>5.1965651256089123</v>
      </c>
      <c r="Z7" s="40"/>
      <c r="AA7" s="297">
        <f>'43 Grund, Bullish und Bearish'!AA25</f>
        <v>-4.4705362402211097</v>
      </c>
      <c r="AB7" s="79"/>
      <c r="AC7" s="297">
        <f>'43 Grund, Bullish und Bearish'!AC25</f>
        <v>-0.41289700863186951</v>
      </c>
      <c r="AD7" s="40"/>
      <c r="AE7" s="297">
        <f>'43 Grund, Bullish und Bearish'!AE25</f>
        <v>-0.45269767363519264</v>
      </c>
      <c r="AF7" s="40"/>
      <c r="AG7" s="297">
        <f>'43 Grund, Bullish und Bearish'!AG25</f>
        <v>-2.5790905145755856</v>
      </c>
      <c r="AH7" s="180"/>
    </row>
    <row r="8" spans="2:34" x14ac:dyDescent="0.45">
      <c r="B8" s="193" t="s">
        <v>165</v>
      </c>
      <c r="C8" s="221" t="s">
        <v>172</v>
      </c>
      <c r="D8" s="77"/>
      <c r="E8" s="207">
        <f>'43 Grund, Bullish und Bearish'!E31</f>
        <v>21.825370266110586</v>
      </c>
      <c r="F8" s="39"/>
      <c r="G8" s="203">
        <f>'43 Grund, Bullish und Bearish'!G31</f>
        <v>-21.825370266110586</v>
      </c>
      <c r="H8" s="39"/>
      <c r="I8" s="297">
        <f>'43 Grund, Bullish und Bearish'!I31</f>
        <v>-10.724901686056278</v>
      </c>
      <c r="J8" s="39"/>
      <c r="K8" s="200">
        <f>'43 Grund, Bullish und Bearish'!K31</f>
        <v>10.724901686056278</v>
      </c>
      <c r="L8" s="39"/>
      <c r="M8" s="114">
        <f>'43 Grund, Bullish und Bearish'!M31</f>
        <v>8.1273274075246036</v>
      </c>
      <c r="N8" s="39"/>
      <c r="O8" s="200">
        <f>'43 Grund, Bullish und Bearish'!O31</f>
        <v>18.017720588676806</v>
      </c>
      <c r="P8" s="39"/>
      <c r="Q8" s="297">
        <f>'43 Grund, Bullish und Bearish'!Q31</f>
        <v>-0.18467726989980449</v>
      </c>
      <c r="R8" s="39"/>
      <c r="S8" s="200">
        <f>'43 Grund, Bullish und Bearish'!S31</f>
        <v>2.4526976736351926</v>
      </c>
      <c r="T8" s="39"/>
      <c r="U8" s="200">
        <f>'43 Grund, Bullish und Bearish'!U31</f>
        <v>2.4128970086318695</v>
      </c>
      <c r="V8" s="39"/>
      <c r="W8" s="200">
        <f>'43 Grund, Bullish und Bearish'!W31</f>
        <v>16.919974918840207</v>
      </c>
      <c r="X8" s="39"/>
      <c r="Y8" s="297">
        <f>'43 Grund, Bullish und Bearish'!Y31</f>
        <v>-18.017720588676806</v>
      </c>
      <c r="Z8" s="39"/>
      <c r="AA8" s="297">
        <f>'43 Grund, Bullish und Bearish'!AA31</f>
        <v>-5.8991076687925386</v>
      </c>
      <c r="AB8" s="78"/>
      <c r="AC8" s="297">
        <f>'43 Grund, Bullish und Bearish'!AC31</f>
        <v>-2.4128970086318695</v>
      </c>
      <c r="AD8" s="39"/>
      <c r="AE8" s="297">
        <f>'43 Grund, Bullish und Bearish'!AE31</f>
        <v>-2.4526976736351926</v>
      </c>
      <c r="AF8" s="39"/>
      <c r="AG8" s="297">
        <f>'43 Grund, Bullish und Bearish'!AG31</f>
        <v>-6.8648048002898721</v>
      </c>
      <c r="AH8" s="181"/>
    </row>
    <row r="9" spans="2:34" ht="14.65" thickBot="1" x14ac:dyDescent="0.5">
      <c r="B9" s="194" t="s">
        <v>164</v>
      </c>
      <c r="C9" s="222" t="s">
        <v>173</v>
      </c>
      <c r="D9" s="196"/>
      <c r="E9" s="230">
        <f>'43 Grund, Bullish und Bearish'!E36</f>
        <v>49.325370266110589</v>
      </c>
      <c r="F9" s="197"/>
      <c r="G9" s="204">
        <f>'43 Grund, Bullish und Bearish'!G36</f>
        <v>-49.325370266110589</v>
      </c>
      <c r="H9" s="197"/>
      <c r="I9" s="297">
        <f>'43 Grund, Bullish und Bearish'!I36</f>
        <v>-10.724901686056276</v>
      </c>
      <c r="J9" s="197"/>
      <c r="K9" s="201">
        <f>'43 Grund, Bullish und Bearish'!K36</f>
        <v>10.724901686056276</v>
      </c>
      <c r="L9" s="197"/>
      <c r="M9" s="202">
        <f>'43 Grund, Bullish und Bearish'!M36</f>
        <v>8.1273274075246036</v>
      </c>
      <c r="N9" s="197"/>
      <c r="O9" s="201">
        <f>'43 Grund, Bullish und Bearish'!O36</f>
        <v>45.517720588676802</v>
      </c>
      <c r="P9" s="197"/>
      <c r="Q9" s="297">
        <f>'43 Grund, Bullish und Bearish'!Q36</f>
        <v>-0.18467726989980754</v>
      </c>
      <c r="R9" s="197"/>
      <c r="S9" s="201">
        <f>'43 Grund, Bullish und Bearish'!S36</f>
        <v>2.4526976736351918</v>
      </c>
      <c r="T9" s="197"/>
      <c r="U9" s="201">
        <f>'43 Grund, Bullish und Bearish'!U36</f>
        <v>2.4128970086318695</v>
      </c>
      <c r="V9" s="197"/>
      <c r="W9" s="201">
        <f>'43 Grund, Bullish und Bearish'!W36</f>
        <v>44.419974918840204</v>
      </c>
      <c r="X9" s="197"/>
      <c r="Y9" s="297">
        <f>'43 Grund, Bullish und Bearish'!Y36</f>
        <v>-45.517720588676802</v>
      </c>
      <c r="Z9" s="197"/>
      <c r="AA9" s="297">
        <f>'43 Grund, Bullish und Bearish'!AA36</f>
        <v>-5.8991076687925386</v>
      </c>
      <c r="AB9" s="198"/>
      <c r="AC9" s="297">
        <f>'43 Grund, Bullish und Bearish'!AC36</f>
        <v>-2.4128970086318695</v>
      </c>
      <c r="AD9" s="197"/>
      <c r="AE9" s="297">
        <f>'43 Grund, Bullish und Bearish'!AE36</f>
        <v>-2.4526976736351918</v>
      </c>
      <c r="AF9" s="197"/>
      <c r="AG9" s="297">
        <f>'43 Grund, Bullish und Bearish'!AG36</f>
        <v>-6.8648048002898747</v>
      </c>
      <c r="AH9" s="199"/>
    </row>
    <row r="17" spans="3:33" x14ac:dyDescent="0.45">
      <c r="Y17" s="43"/>
      <c r="AA17" s="43"/>
      <c r="AC17" s="43"/>
      <c r="AE17" s="43"/>
      <c r="AG17" s="43"/>
    </row>
    <row r="18" spans="3:33" x14ac:dyDescent="0.45">
      <c r="C18" s="44"/>
      <c r="Y18" s="43"/>
      <c r="AA18" s="43"/>
      <c r="AC18" s="43"/>
      <c r="AE18" s="43"/>
      <c r="AG18" s="43"/>
    </row>
    <row r="19" spans="3:33" x14ac:dyDescent="0.45">
      <c r="Y19" s="43"/>
      <c r="AA19" s="43"/>
      <c r="AC19" s="43"/>
      <c r="AE19" s="43"/>
      <c r="AG19" s="43"/>
    </row>
    <row r="20" spans="3:33" x14ac:dyDescent="0.45">
      <c r="Y20" s="43"/>
      <c r="AA20" s="43"/>
      <c r="AC20" s="43"/>
      <c r="AE20" s="43"/>
      <c r="AG20" s="43"/>
    </row>
  </sheetData>
  <conditionalFormatting sqref="E4:AH4">
    <cfRule type="containsBlanks" dxfId="231" priority="18">
      <formula>LEN(TRIM(E4))=0</formula>
    </cfRule>
  </conditionalFormatting>
  <conditionalFormatting sqref="B4:C4">
    <cfRule type="containsBlanks" dxfId="230" priority="17">
      <formula>LEN(TRIM(B4))=0</formula>
    </cfRule>
  </conditionalFormatting>
  <conditionalFormatting sqref="B2">
    <cfRule type="containsBlanks" dxfId="229" priority="15">
      <formula>LEN(TRIM(B2))=0</formula>
    </cfRule>
  </conditionalFormatting>
  <conditionalFormatting sqref="E5:E7">
    <cfRule type="containsBlanks" dxfId="228" priority="14">
      <formula>LEN(TRIM(E5))=0</formula>
    </cfRule>
  </conditionalFormatting>
  <conditionalFormatting sqref="I8:I9">
    <cfRule type="containsBlanks" dxfId="227" priority="13">
      <formula>LEN(TRIM(I8))=0</formula>
    </cfRule>
  </conditionalFormatting>
  <conditionalFormatting sqref="K5">
    <cfRule type="containsBlanks" dxfId="226" priority="12">
      <formula>LEN(TRIM(K5))=0</formula>
    </cfRule>
  </conditionalFormatting>
  <conditionalFormatting sqref="M6">
    <cfRule type="containsBlanks" dxfId="225" priority="11">
      <formula>LEN(TRIM(M6))=0</formula>
    </cfRule>
  </conditionalFormatting>
  <conditionalFormatting sqref="O5:O7">
    <cfRule type="containsBlanks" dxfId="224" priority="10">
      <formula>LEN(TRIM(O5))=0</formula>
    </cfRule>
  </conditionalFormatting>
  <conditionalFormatting sqref="Q5:Q9">
    <cfRule type="containsBlanks" dxfId="223" priority="9">
      <formula>LEN(TRIM(Q5))=0</formula>
    </cfRule>
  </conditionalFormatting>
  <conditionalFormatting sqref="S5:S6">
    <cfRule type="containsBlanks" dxfId="222" priority="8">
      <formula>LEN(TRIM(S5))=0</formula>
    </cfRule>
  </conditionalFormatting>
  <conditionalFormatting sqref="U5:U6">
    <cfRule type="containsBlanks" dxfId="221" priority="7">
      <formula>LEN(TRIM(U5))=0</formula>
    </cfRule>
  </conditionalFormatting>
  <conditionalFormatting sqref="W5:W7">
    <cfRule type="containsBlanks" dxfId="220" priority="6">
      <formula>LEN(TRIM(W5))=0</formula>
    </cfRule>
  </conditionalFormatting>
  <conditionalFormatting sqref="Y8:Y9">
    <cfRule type="containsBlanks" dxfId="219" priority="5">
      <formula>LEN(TRIM(Y8))=0</formula>
    </cfRule>
  </conditionalFormatting>
  <conditionalFormatting sqref="AA7:AA9">
    <cfRule type="containsBlanks" dxfId="218" priority="4">
      <formula>LEN(TRIM(AA7))=0</formula>
    </cfRule>
  </conditionalFormatting>
  <conditionalFormatting sqref="AC7:AC9">
    <cfRule type="containsBlanks" dxfId="217" priority="3">
      <formula>LEN(TRIM(AC7))=0</formula>
    </cfRule>
  </conditionalFormatting>
  <conditionalFormatting sqref="AE7:AE9">
    <cfRule type="containsBlanks" dxfId="216" priority="2">
      <formula>LEN(TRIM(AE7))=0</formula>
    </cfRule>
  </conditionalFormatting>
  <conditionalFormatting sqref="AG7:AG9">
    <cfRule type="containsBlanks" dxfId="215" priority="1">
      <formula>LEN(TRIM(AG7))=0</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03BC6-F306-4E33-8238-FE3E5B909374}">
  <sheetPr>
    <tabColor theme="5" tint="0.39997558519241921"/>
  </sheetPr>
  <dimension ref="B2:AM67"/>
  <sheetViews>
    <sheetView zoomScale="25" zoomScaleNormal="25" workbookViewId="0">
      <selection activeCell="E14" sqref="E14"/>
    </sheetView>
  </sheetViews>
  <sheetFormatPr baseColWidth="10" defaultColWidth="9.1328125" defaultRowHeight="14.25" x14ac:dyDescent="0.45"/>
  <cols>
    <col min="1" max="1" width="6.1328125" customWidth="1"/>
    <col min="2" max="2" width="27.265625" customWidth="1"/>
    <col min="3" max="3" width="8.86328125" customWidth="1"/>
    <col min="4" max="4" width="14.796875" bestFit="1" customWidth="1"/>
    <col min="5" max="5" width="22.59765625" bestFit="1" customWidth="1"/>
    <col min="6" max="6" width="17.33203125" bestFit="1" customWidth="1"/>
    <col min="7" max="7" width="25.06640625" bestFit="1" customWidth="1"/>
    <col min="8" max="8" width="16.86328125" bestFit="1" customWidth="1"/>
    <col min="9" max="9" width="24.59765625" bestFit="1" customWidth="1"/>
    <col min="10" max="10" width="15.9296875" bestFit="1" customWidth="1"/>
    <col min="11" max="11" width="23.6640625" bestFit="1" customWidth="1"/>
    <col min="12" max="12" width="15.3984375" bestFit="1" customWidth="1"/>
    <col min="13" max="13" width="23.19921875" bestFit="1" customWidth="1"/>
    <col min="14" max="14" width="18.265625" bestFit="1" customWidth="1"/>
    <col min="15" max="15" width="28.73046875" bestFit="1" customWidth="1"/>
    <col min="16" max="16" width="13.3984375" bestFit="1" customWidth="1"/>
    <col min="17" max="17" width="21.19921875" bestFit="1" customWidth="1"/>
    <col min="18" max="18" width="10.19921875" bestFit="1" customWidth="1"/>
    <col min="19" max="19" width="17.9296875" bestFit="1" customWidth="1"/>
    <col min="20" max="20" width="21.1328125" bestFit="1" customWidth="1"/>
    <col min="21" max="21" width="28.86328125" bestFit="1" customWidth="1"/>
    <col min="22" max="22" width="17.59765625" bestFit="1" customWidth="1"/>
    <col min="23" max="23" width="25.33203125" bestFit="1" customWidth="1"/>
    <col min="24" max="24" width="17.1328125" bestFit="1" customWidth="1"/>
    <col min="25" max="25" width="24.86328125" bestFit="1" customWidth="1"/>
    <col min="26" max="26" width="16.19921875" bestFit="1" customWidth="1"/>
    <col min="27" max="27" width="23.9296875" bestFit="1" customWidth="1"/>
    <col min="28" max="28" width="21.1328125" bestFit="1" customWidth="1"/>
    <col min="29" max="29" width="23.46484375" bestFit="1" customWidth="1"/>
    <col min="30" max="30" width="13.1328125" bestFit="1" customWidth="1"/>
    <col min="31" max="31" width="20.9296875" bestFit="1" customWidth="1"/>
    <col min="32" max="32" width="13.1328125" bestFit="1" customWidth="1"/>
    <col min="33" max="33" width="20.9296875" bestFit="1" customWidth="1"/>
    <col min="34" max="34" width="8.73046875" bestFit="1" customWidth="1"/>
    <col min="35" max="35" width="12.59765625" bestFit="1" customWidth="1"/>
    <col min="36" max="36" width="7.86328125" bestFit="1" customWidth="1"/>
    <col min="37" max="37" width="13.06640625" bestFit="1" customWidth="1"/>
    <col min="38" max="38" width="9.9296875" bestFit="1" customWidth="1"/>
    <col min="39" max="39" width="17.6640625" bestFit="1" customWidth="1"/>
  </cols>
  <sheetData>
    <row r="2" spans="2:39" ht="25.5" x14ac:dyDescent="0.75">
      <c r="B2" s="174" t="s">
        <v>174</v>
      </c>
    </row>
    <row r="3" spans="2:39" ht="14.65" thickBot="1" x14ac:dyDescent="0.5"/>
    <row r="4" spans="2:39" x14ac:dyDescent="0.45">
      <c r="B4" s="73" t="s">
        <v>137</v>
      </c>
      <c r="C4" s="210"/>
      <c r="D4" s="210"/>
      <c r="E4" s="211">
        <f>Input!C74</f>
        <v>0</v>
      </c>
      <c r="F4" s="212">
        <f>Input!D74</f>
        <v>30</v>
      </c>
    </row>
    <row r="5" spans="2:39" x14ac:dyDescent="0.45">
      <c r="B5" s="213" t="s">
        <v>138</v>
      </c>
      <c r="C5" s="63"/>
      <c r="D5" s="63"/>
      <c r="E5" s="121">
        <f>Input!C75</f>
        <v>30</v>
      </c>
      <c r="F5" s="124">
        <f>Input!D75</f>
        <v>55</v>
      </c>
    </row>
    <row r="6" spans="2:39" x14ac:dyDescent="0.45">
      <c r="B6" s="213" t="s">
        <v>136</v>
      </c>
      <c r="C6" s="63"/>
      <c r="D6" s="63"/>
      <c r="E6" s="121">
        <f>Input!C76</f>
        <v>55</v>
      </c>
      <c r="F6" s="124">
        <f>Input!D76</f>
        <v>85</v>
      </c>
    </row>
    <row r="7" spans="2:39" x14ac:dyDescent="0.45">
      <c r="B7" s="213" t="s">
        <v>135</v>
      </c>
      <c r="C7" s="63"/>
      <c r="D7" s="63"/>
      <c r="E7" s="121">
        <f>Input!C77</f>
        <v>85</v>
      </c>
      <c r="F7" s="124">
        <f>Input!D77</f>
        <v>110</v>
      </c>
    </row>
    <row r="8" spans="2:39" ht="14.65" thickBot="1" x14ac:dyDescent="0.5">
      <c r="B8" s="214" t="s">
        <v>134</v>
      </c>
      <c r="C8" s="215"/>
      <c r="D8" s="215"/>
      <c r="E8" s="216">
        <f>Input!C78</f>
        <v>110</v>
      </c>
      <c r="F8" s="185">
        <f>Input!D78</f>
        <v>140</v>
      </c>
    </row>
    <row r="10" spans="2:39" ht="18" x14ac:dyDescent="0.55000000000000004">
      <c r="B10" s="72" t="s">
        <v>266</v>
      </c>
    </row>
    <row r="12" spans="2:39" ht="14.65" thickBot="1" x14ac:dyDescent="0.5"/>
    <row r="13" spans="2:39" ht="26.25" x14ac:dyDescent="0.45">
      <c r="B13" s="32" t="s">
        <v>106</v>
      </c>
      <c r="D13" s="32" t="str">
        <f>'25'!$B$3</f>
        <v>Condor Options</v>
      </c>
      <c r="E13" s="32" t="str">
        <f>D13 &amp; " Average"</f>
        <v>Condor Options Average</v>
      </c>
      <c r="F13" s="32" t="str">
        <f>'26'!$B$3</f>
        <v>Long Call Butterfly</v>
      </c>
      <c r="G13" s="32" t="str">
        <f>F13 &amp; " Average"</f>
        <v>Long Call Butterfly Average</v>
      </c>
      <c r="H13" s="32" t="str">
        <f>'27'!$B$3</f>
        <v>Long Put Butterfly</v>
      </c>
      <c r="I13" s="32" t="str">
        <f>H13 &amp; " Average"</f>
        <v>Long Put Butterfly Average</v>
      </c>
      <c r="J13" s="32" t="str">
        <f>'28'!$B$3</f>
        <v>Long Call Ladder</v>
      </c>
      <c r="K13" s="32" t="str">
        <f>J13 &amp; " Average"</f>
        <v>Long Call Ladder Average</v>
      </c>
      <c r="L13" s="32" t="str">
        <f>'29'!$B$3</f>
        <v>Long Put Ladder</v>
      </c>
      <c r="M13" s="32" t="str">
        <f>L13 &amp; " Average"</f>
        <v>Long Put Ladder Average</v>
      </c>
      <c r="N13" s="32" t="str">
        <f>'30'!$B$3</f>
        <v>Short Strangle</v>
      </c>
      <c r="O13" s="32" t="str">
        <f>N13 &amp; " Average"</f>
        <v>Short Strangle Average</v>
      </c>
      <c r="P13" s="32" t="str">
        <f>'31'!$B$3</f>
        <v>Short Straddle</v>
      </c>
      <c r="Q13" s="32" t="str">
        <f>P13 &amp; " Average"</f>
        <v>Short Straddle Average</v>
      </c>
      <c r="R13" s="32" t="str">
        <f>'32'!$B$3</f>
        <v>Short Guts</v>
      </c>
      <c r="S13" s="32" t="str">
        <f>R13 &amp; " Average"</f>
        <v>Short Guts Average</v>
      </c>
      <c r="T13" s="32" t="str">
        <f>'33'!$B$3</f>
        <v>Short Condor Strategie</v>
      </c>
      <c r="U13" s="32" t="str">
        <f>T13 &amp; " Average"</f>
        <v>Short Condor Strategie Average</v>
      </c>
      <c r="V13" s="32" t="str">
        <f>'34'!$B$3</f>
        <v>Short Call Butterfly</v>
      </c>
      <c r="W13" s="32" t="str">
        <f>V13 &amp; " Average"</f>
        <v>Short Call Butterfly Average</v>
      </c>
      <c r="X13" s="32" t="str">
        <f>'35'!$B$3</f>
        <v>Short Put Butterfly</v>
      </c>
      <c r="Y13" s="32" t="str">
        <f>X13 &amp; " Average"</f>
        <v>Short Put Butterfly Average</v>
      </c>
      <c r="Z13" s="32" t="str">
        <f>'36'!$B$3</f>
        <v>Short Call Ladder</v>
      </c>
      <c r="AA13" s="32" t="str">
        <f>Z13 &amp; " Average"</f>
        <v>Short Call Ladder Average</v>
      </c>
      <c r="AB13" s="32" t="str">
        <f>'37'!$B$3</f>
        <v>Short Put Ladder</v>
      </c>
      <c r="AC13" s="32" t="str">
        <f>AB13 &amp; " Average"</f>
        <v>Short Put Ladder Average</v>
      </c>
      <c r="AD13" s="32" t="str">
        <f>'38'!$B$3</f>
        <v>Long Strangle</v>
      </c>
      <c r="AE13" s="32" t="str">
        <f>AD13 &amp; " Average"</f>
        <v>Long Strangle Average</v>
      </c>
      <c r="AF13" s="32" t="str">
        <f>'39'!$B$3</f>
        <v>Long Straddle</v>
      </c>
      <c r="AG13" s="32" t="str">
        <f>AF13 &amp; " Average"</f>
        <v>Long Straddle Average</v>
      </c>
      <c r="AH13" s="32" t="str">
        <f>'40'!$B$3</f>
        <v>Strip</v>
      </c>
      <c r="AI13" s="32" t="str">
        <f>AH13 &amp; " Average"</f>
        <v>Strip Average</v>
      </c>
      <c r="AJ13" s="32" t="str">
        <f>'41'!$B$3</f>
        <v>Strap</v>
      </c>
      <c r="AK13" s="32" t="str">
        <f>AJ13 &amp; " Average"</f>
        <v>Strap Average</v>
      </c>
      <c r="AL13" s="32" t="str">
        <f>'42'!$B$3</f>
        <v>Long Guts</v>
      </c>
      <c r="AM13" s="32" t="str">
        <f>AL13 &amp; " Average"</f>
        <v>Long Guts Average</v>
      </c>
    </row>
    <row r="14" spans="2:39" x14ac:dyDescent="0.45">
      <c r="B14" s="114">
        <f>Input!C5</f>
        <v>0</v>
      </c>
      <c r="D14" s="173">
        <f>'25'!$C20</f>
        <v>-0.21804285858598504</v>
      </c>
      <c r="E14" s="42">
        <f>AVERAGE(D14:D20)</f>
        <v>-0.21804285858598504</v>
      </c>
      <c r="F14" s="173">
        <f>'26'!$C20</f>
        <v>-7.2347540834272195E-2</v>
      </c>
      <c r="G14" s="42">
        <f>AVERAGE(F14:F20)</f>
        <v>-7.2347540834272195E-2</v>
      </c>
      <c r="H14" s="173">
        <f>'27'!$C20</f>
        <v>-7.2347540834286406E-2</v>
      </c>
      <c r="I14" s="42">
        <f>AVERAGE(H14:H20)</f>
        <v>-7.2347540834286406E-2</v>
      </c>
      <c r="J14" s="173">
        <f>'28'!$C20</f>
        <v>5.3175024739250638</v>
      </c>
      <c r="K14" s="42">
        <f>AVERAGE(J14:J20)</f>
        <v>5.3175024739250647</v>
      </c>
      <c r="L14" s="173">
        <f>'29'!$C20</f>
        <v>-58.930617597308668</v>
      </c>
      <c r="M14" s="42">
        <f>AVERAGE(L14:L20)</f>
        <v>-43.930617597308675</v>
      </c>
      <c r="N14" s="173">
        <f>'30'!$C20</f>
        <v>-53.560667915050985</v>
      </c>
      <c r="O14" s="42">
        <f>AVERAGE(N14:N20)</f>
        <v>-38.560667915050992</v>
      </c>
      <c r="P14" s="173">
        <f>'31'!$C20</f>
        <v>-53.652915788386935</v>
      </c>
      <c r="Q14" s="42">
        <f>AVERAGE(P14:P20)</f>
        <v>-38.652915788386927</v>
      </c>
      <c r="R14" s="173">
        <f>'32'!$C20</f>
        <v>-53.600468580054311</v>
      </c>
      <c r="S14" s="42">
        <f>AVERAGE(R14:R20)</f>
        <v>-38.600468580054319</v>
      </c>
      <c r="T14" s="173">
        <f>'33'!$C20</f>
        <v>0.21804285858598682</v>
      </c>
      <c r="U14" s="42">
        <f>AVERAGE(T14:T20)</f>
        <v>0.21804285858598682</v>
      </c>
      <c r="V14" s="173">
        <f>'34'!$C20</f>
        <v>7.2347540834272195E-2</v>
      </c>
      <c r="W14" s="42">
        <f>AVERAGE(V14:V20)</f>
        <v>7.2347540834272195E-2</v>
      </c>
      <c r="X14" s="173">
        <f>'35'!$C20</f>
        <v>7.2347540834293511E-2</v>
      </c>
      <c r="Y14" s="42">
        <f>AVERAGE(X14:X20)</f>
        <v>7.2347540834292998E-2</v>
      </c>
      <c r="Z14" s="173">
        <f>'36'!$C20</f>
        <v>-5.3175024739250638</v>
      </c>
      <c r="AA14" s="42">
        <f>AVERAGE(Z14:Z20)</f>
        <v>-5.3175024739250647</v>
      </c>
      <c r="AB14" s="173">
        <f>'37'!$C20</f>
        <v>58.930617597308661</v>
      </c>
      <c r="AC14" s="42">
        <f>AVERAGE(AB14:AB20)</f>
        <v>43.930617597308661</v>
      </c>
      <c r="AD14" s="173">
        <f>'38'!$C20</f>
        <v>53.560667915050985</v>
      </c>
      <c r="AE14" s="42">
        <f>AVERAGE(AD14:AD20)</f>
        <v>38.560667915050992</v>
      </c>
      <c r="AF14" s="173">
        <f>'39'!$C20</f>
        <v>53.652915788386935</v>
      </c>
      <c r="AG14" s="42">
        <f>AVERAGE(AF14:AF20)</f>
        <v>38.652915788386927</v>
      </c>
      <c r="AH14" s="173">
        <f>'40'!$C20</f>
        <v>114.17063637706373</v>
      </c>
      <c r="AI14" s="42">
        <f>AVERAGE(AH14:AH20)</f>
        <v>84.17063637706373</v>
      </c>
      <c r="AJ14" s="173">
        <f>'41'!$C20</f>
        <v>46.78811098809706</v>
      </c>
      <c r="AK14" s="42">
        <f>AVERAGE(AJ14:AJ20)</f>
        <v>31.78811098809706</v>
      </c>
      <c r="AL14" s="173">
        <f>'42'!$C20</f>
        <v>53.600468580054311</v>
      </c>
      <c r="AM14" s="42">
        <f>AVERAGE(AL14:AL20)</f>
        <v>38.600468580054319</v>
      </c>
    </row>
    <row r="15" spans="2:39" x14ac:dyDescent="0.45">
      <c r="B15" s="114">
        <f>Input!C6</f>
        <v>5</v>
      </c>
      <c r="D15" s="173">
        <f>'25'!$C21</f>
        <v>-0.21804285858598504</v>
      </c>
      <c r="E15" s="50"/>
      <c r="F15" s="173">
        <f>'26'!$C21</f>
        <v>-7.2347540834272195E-2</v>
      </c>
      <c r="G15" s="50"/>
      <c r="H15" s="173">
        <f>'27'!$C21</f>
        <v>-7.2347540834286406E-2</v>
      </c>
      <c r="I15" s="50"/>
      <c r="J15" s="173">
        <f>'28'!$C21</f>
        <v>5.3175024739250638</v>
      </c>
      <c r="K15" s="50"/>
      <c r="L15" s="173">
        <f>'29'!$C21</f>
        <v>-53.930617597308668</v>
      </c>
      <c r="M15" s="50"/>
      <c r="N15" s="173">
        <f>'30'!$C21</f>
        <v>-48.560667915050985</v>
      </c>
      <c r="O15" s="50"/>
      <c r="P15" s="173">
        <f>'31'!$C21</f>
        <v>-48.652915788386935</v>
      </c>
      <c r="Q15" s="50"/>
      <c r="R15" s="173">
        <f>'32'!$C21</f>
        <v>-48.600468580054311</v>
      </c>
      <c r="S15" s="50"/>
      <c r="T15" s="173">
        <f>'33'!$C21</f>
        <v>0.21804285858598682</v>
      </c>
      <c r="U15" s="50"/>
      <c r="V15" s="173">
        <f>'34'!$C21</f>
        <v>7.2347540834272195E-2</v>
      </c>
      <c r="W15" s="50"/>
      <c r="X15" s="173">
        <f>'35'!$C21</f>
        <v>7.2347540834293511E-2</v>
      </c>
      <c r="Y15" s="50"/>
      <c r="Z15" s="173">
        <f>'36'!$C21</f>
        <v>-5.3175024739250638</v>
      </c>
      <c r="AA15" s="50"/>
      <c r="AB15" s="173">
        <f>'37'!$C21</f>
        <v>53.930617597308661</v>
      </c>
      <c r="AC15" s="50"/>
      <c r="AD15" s="173">
        <f>'38'!$C21</f>
        <v>48.560667915050985</v>
      </c>
      <c r="AE15" s="50"/>
      <c r="AF15" s="173">
        <f>'39'!$C21</f>
        <v>48.652915788386935</v>
      </c>
      <c r="AG15" s="50"/>
      <c r="AH15" s="173">
        <f>'40'!$C21</f>
        <v>104.17063637706373</v>
      </c>
      <c r="AI15" s="50"/>
      <c r="AJ15" s="173">
        <f>'41'!$C21</f>
        <v>41.78811098809706</v>
      </c>
      <c r="AK15" s="50"/>
      <c r="AL15" s="173">
        <f>'42'!$C21</f>
        <v>48.600468580054311</v>
      </c>
      <c r="AM15" s="50"/>
    </row>
    <row r="16" spans="2:39" x14ac:dyDescent="0.45">
      <c r="B16" s="114">
        <f>Input!C7</f>
        <v>10</v>
      </c>
      <c r="D16" s="173">
        <f>'25'!$C22</f>
        <v>-0.21804285858598504</v>
      </c>
      <c r="E16" s="50"/>
      <c r="F16" s="173">
        <f>'26'!$C22</f>
        <v>-7.2347540834272195E-2</v>
      </c>
      <c r="G16" s="50"/>
      <c r="H16" s="173">
        <f>'27'!$C22</f>
        <v>-7.2347540834286406E-2</v>
      </c>
      <c r="I16" s="50"/>
      <c r="J16" s="173">
        <f>'28'!$C22</f>
        <v>5.3175024739250638</v>
      </c>
      <c r="K16" s="50"/>
      <c r="L16" s="173">
        <f>'29'!$C22</f>
        <v>-48.930617597308668</v>
      </c>
      <c r="M16" s="50"/>
      <c r="N16" s="173">
        <f>'30'!$C22</f>
        <v>-43.560667915050985</v>
      </c>
      <c r="O16" s="50"/>
      <c r="P16" s="173">
        <f>'31'!$C22</f>
        <v>-43.652915788386935</v>
      </c>
      <c r="Q16" s="50"/>
      <c r="R16" s="173">
        <f>'32'!$C22</f>
        <v>-43.600468580054311</v>
      </c>
      <c r="S16" s="50"/>
      <c r="T16" s="173">
        <f>'33'!$C22</f>
        <v>0.21804285858598682</v>
      </c>
      <c r="U16" s="50"/>
      <c r="V16" s="173">
        <f>'34'!$C22</f>
        <v>7.2347540834272195E-2</v>
      </c>
      <c r="W16" s="50"/>
      <c r="X16" s="173">
        <f>'35'!$C22</f>
        <v>7.2347540834293511E-2</v>
      </c>
      <c r="Y16" s="50"/>
      <c r="Z16" s="173">
        <f>'36'!$C22</f>
        <v>-5.3175024739250638</v>
      </c>
      <c r="AA16" s="50"/>
      <c r="AB16" s="173">
        <f>'37'!$C22</f>
        <v>48.930617597308661</v>
      </c>
      <c r="AC16" s="50"/>
      <c r="AD16" s="173">
        <f>'38'!$C22</f>
        <v>43.560667915050985</v>
      </c>
      <c r="AE16" s="50"/>
      <c r="AF16" s="173">
        <f>'39'!$C22</f>
        <v>43.652915788386935</v>
      </c>
      <c r="AG16" s="50"/>
      <c r="AH16" s="173">
        <f>'40'!$C22</f>
        <v>94.17063637706373</v>
      </c>
      <c r="AI16" s="50"/>
      <c r="AJ16" s="173">
        <f>'41'!$C22</f>
        <v>36.78811098809706</v>
      </c>
      <c r="AK16" s="50"/>
      <c r="AL16" s="173">
        <f>'42'!$C22</f>
        <v>43.600468580054311</v>
      </c>
      <c r="AM16" s="50"/>
    </row>
    <row r="17" spans="2:39" x14ac:dyDescent="0.45">
      <c r="B17" s="114">
        <f>Input!C8</f>
        <v>15</v>
      </c>
      <c r="D17" s="173">
        <f>'25'!$C23</f>
        <v>-0.21804285858598504</v>
      </c>
      <c r="E17" s="50"/>
      <c r="F17" s="173">
        <f>'26'!$C23</f>
        <v>-7.2347540834272195E-2</v>
      </c>
      <c r="G17" s="50"/>
      <c r="H17" s="173">
        <f>'27'!$C23</f>
        <v>-7.2347540834286406E-2</v>
      </c>
      <c r="I17" s="50"/>
      <c r="J17" s="173">
        <f>'28'!$C23</f>
        <v>5.3175024739250638</v>
      </c>
      <c r="K17" s="50"/>
      <c r="L17" s="173">
        <f>'29'!$C23</f>
        <v>-43.930617597308668</v>
      </c>
      <c r="M17" s="50"/>
      <c r="N17" s="173">
        <f>'30'!$C23</f>
        <v>-38.560667915050985</v>
      </c>
      <c r="O17" s="50"/>
      <c r="P17" s="173">
        <f>'31'!$C23</f>
        <v>-38.652915788386935</v>
      </c>
      <c r="Q17" s="50"/>
      <c r="R17" s="173">
        <f>'32'!$C23</f>
        <v>-38.600468580054311</v>
      </c>
      <c r="S17" s="50"/>
      <c r="T17" s="173">
        <f>'33'!$C23</f>
        <v>0.21804285858598682</v>
      </c>
      <c r="U17" s="50"/>
      <c r="V17" s="173">
        <f>'34'!$C23</f>
        <v>7.2347540834272195E-2</v>
      </c>
      <c r="W17" s="50"/>
      <c r="X17" s="173">
        <f>'35'!$C23</f>
        <v>7.2347540834293511E-2</v>
      </c>
      <c r="Y17" s="50"/>
      <c r="Z17" s="173">
        <f>'36'!$C23</f>
        <v>-5.3175024739250638</v>
      </c>
      <c r="AA17" s="50"/>
      <c r="AB17" s="173">
        <f>'37'!$C23</f>
        <v>43.930617597308661</v>
      </c>
      <c r="AC17" s="50"/>
      <c r="AD17" s="173">
        <f>'38'!$C23</f>
        <v>38.560667915050985</v>
      </c>
      <c r="AE17" s="50"/>
      <c r="AF17" s="173">
        <f>'39'!$C23</f>
        <v>38.652915788386935</v>
      </c>
      <c r="AG17" s="50"/>
      <c r="AH17" s="173">
        <f>'40'!$C23</f>
        <v>84.17063637706373</v>
      </c>
      <c r="AI17" s="50"/>
      <c r="AJ17" s="173">
        <f>'41'!$C23</f>
        <v>31.78811098809706</v>
      </c>
      <c r="AK17" s="50"/>
      <c r="AL17" s="173">
        <f>'42'!$C23</f>
        <v>38.600468580054311</v>
      </c>
      <c r="AM17" s="50"/>
    </row>
    <row r="18" spans="2:39" x14ac:dyDescent="0.45">
      <c r="B18" s="114">
        <f>Input!C9</f>
        <v>20</v>
      </c>
      <c r="D18" s="173">
        <f>'25'!$C24</f>
        <v>-0.21804285858598504</v>
      </c>
      <c r="E18" s="50"/>
      <c r="F18" s="173">
        <f>'26'!$C24</f>
        <v>-7.2347540834272195E-2</v>
      </c>
      <c r="G18" s="50"/>
      <c r="H18" s="173">
        <f>'27'!$C24</f>
        <v>-7.2347540834286406E-2</v>
      </c>
      <c r="I18" s="50"/>
      <c r="J18" s="173">
        <f>'28'!$C24</f>
        <v>5.3175024739250638</v>
      </c>
      <c r="K18" s="50"/>
      <c r="L18" s="173">
        <f>'29'!$C24</f>
        <v>-38.930617597308668</v>
      </c>
      <c r="M18" s="50"/>
      <c r="N18" s="173">
        <f>'30'!$C24</f>
        <v>-33.560667915050985</v>
      </c>
      <c r="O18" s="50"/>
      <c r="P18" s="173">
        <f>'31'!$C24</f>
        <v>-33.652915788386935</v>
      </c>
      <c r="Q18" s="50"/>
      <c r="R18" s="173">
        <f>'32'!$C24</f>
        <v>-33.600468580054311</v>
      </c>
      <c r="S18" s="50"/>
      <c r="T18" s="173">
        <f>'33'!$C24</f>
        <v>0.21804285858598682</v>
      </c>
      <c r="U18" s="50"/>
      <c r="V18" s="173">
        <f>'34'!$C24</f>
        <v>7.2347540834272195E-2</v>
      </c>
      <c r="W18" s="50"/>
      <c r="X18" s="173">
        <f>'35'!$C24</f>
        <v>7.2347540834293511E-2</v>
      </c>
      <c r="Y18" s="50"/>
      <c r="Z18" s="173">
        <f>'36'!$C24</f>
        <v>-5.3175024739250638</v>
      </c>
      <c r="AA18" s="50"/>
      <c r="AB18" s="173">
        <f>'37'!$C24</f>
        <v>38.930617597308661</v>
      </c>
      <c r="AC18" s="50"/>
      <c r="AD18" s="173">
        <f>'38'!$C24</f>
        <v>33.560667915050985</v>
      </c>
      <c r="AE18" s="50"/>
      <c r="AF18" s="173">
        <f>'39'!$C24</f>
        <v>33.652915788386935</v>
      </c>
      <c r="AG18" s="50"/>
      <c r="AH18" s="173">
        <f>'40'!$C24</f>
        <v>74.17063637706373</v>
      </c>
      <c r="AI18" s="50"/>
      <c r="AJ18" s="173">
        <f>'41'!$C24</f>
        <v>26.78811098809706</v>
      </c>
      <c r="AK18" s="50"/>
      <c r="AL18" s="173">
        <f>'42'!$C24</f>
        <v>33.600468580054311</v>
      </c>
      <c r="AM18" s="50"/>
    </row>
    <row r="19" spans="2:39" x14ac:dyDescent="0.45">
      <c r="B19" s="114">
        <f>Input!C10</f>
        <v>25</v>
      </c>
      <c r="D19" s="173">
        <f>'25'!$C25</f>
        <v>-0.21804285858598504</v>
      </c>
      <c r="E19" s="50"/>
      <c r="F19" s="173">
        <f>'26'!$C25</f>
        <v>-7.2347540834272195E-2</v>
      </c>
      <c r="G19" s="50"/>
      <c r="H19" s="173">
        <f>'27'!$C25</f>
        <v>-7.2347540834286406E-2</v>
      </c>
      <c r="I19" s="50"/>
      <c r="J19" s="173">
        <f>'28'!$C25</f>
        <v>5.3175024739250638</v>
      </c>
      <c r="K19" s="50"/>
      <c r="L19" s="173">
        <f>'29'!$C25</f>
        <v>-33.930617597308668</v>
      </c>
      <c r="M19" s="50"/>
      <c r="N19" s="173">
        <f>'30'!$C25</f>
        <v>-28.560667915050985</v>
      </c>
      <c r="O19" s="50"/>
      <c r="P19" s="173">
        <f>'31'!$C25</f>
        <v>-28.652915788386931</v>
      </c>
      <c r="Q19" s="50"/>
      <c r="R19" s="173">
        <f>'32'!$C25</f>
        <v>-28.600468580054311</v>
      </c>
      <c r="S19" s="50"/>
      <c r="T19" s="173">
        <f>'33'!$C25</f>
        <v>0.21804285858598682</v>
      </c>
      <c r="U19" s="50"/>
      <c r="V19" s="173">
        <f>'34'!$C25</f>
        <v>7.2347540834272195E-2</v>
      </c>
      <c r="W19" s="50"/>
      <c r="X19" s="173">
        <f>'35'!$C25</f>
        <v>7.2347540834293511E-2</v>
      </c>
      <c r="Y19" s="50"/>
      <c r="Z19" s="173">
        <f>'36'!$C25</f>
        <v>-5.3175024739250638</v>
      </c>
      <c r="AA19" s="50"/>
      <c r="AB19" s="173">
        <f>'37'!$C25</f>
        <v>33.930617597308661</v>
      </c>
      <c r="AC19" s="50"/>
      <c r="AD19" s="173">
        <f>'38'!$C25</f>
        <v>28.560667915050985</v>
      </c>
      <c r="AE19" s="50"/>
      <c r="AF19" s="173">
        <f>'39'!$C25</f>
        <v>28.652915788386931</v>
      </c>
      <c r="AG19" s="50"/>
      <c r="AH19" s="173">
        <f>'40'!$C25</f>
        <v>64.17063637706373</v>
      </c>
      <c r="AI19" s="50"/>
      <c r="AJ19" s="173">
        <f>'41'!$C25</f>
        <v>21.78811098809706</v>
      </c>
      <c r="AK19" s="50"/>
      <c r="AL19" s="173">
        <f>'42'!$C25</f>
        <v>28.600468580054311</v>
      </c>
      <c r="AM19" s="50"/>
    </row>
    <row r="20" spans="2:39" x14ac:dyDescent="0.45">
      <c r="B20" s="114">
        <f>Input!C11</f>
        <v>30</v>
      </c>
      <c r="D20" s="173">
        <f>'25'!$C26</f>
        <v>-0.21804285858598504</v>
      </c>
      <c r="E20" s="41">
        <f>AVERAGE(D20:D25)</f>
        <v>-0.21804285858598504</v>
      </c>
      <c r="F20" s="173">
        <f>'26'!$C26</f>
        <v>-7.2347540834272195E-2</v>
      </c>
      <c r="G20" s="41">
        <f>AVERAGE(F20:F25)</f>
        <v>-7.2347540834272195E-2</v>
      </c>
      <c r="H20" s="173">
        <f>'27'!$C26</f>
        <v>-7.2347540834286406E-2</v>
      </c>
      <c r="I20" s="41">
        <f>AVERAGE(H20:H25)</f>
        <v>-7.2347540834288182E-2</v>
      </c>
      <c r="J20" s="173">
        <f>'28'!$C26</f>
        <v>5.3175024739250638</v>
      </c>
      <c r="K20" s="41">
        <f>AVERAGE(J20:J25)</f>
        <v>5.3175024739250638</v>
      </c>
      <c r="L20" s="173">
        <f>'29'!$C26</f>
        <v>-28.930617597308672</v>
      </c>
      <c r="M20" s="41">
        <f>AVERAGE(L20:L25)</f>
        <v>-16.430617597308672</v>
      </c>
      <c r="N20" s="173">
        <f>'30'!$C26</f>
        <v>-23.560667915050988</v>
      </c>
      <c r="O20" s="41">
        <f>AVERAGE(N20:N25)</f>
        <v>-11.060667915050987</v>
      </c>
      <c r="P20" s="173">
        <f>'31'!$C26</f>
        <v>-23.652915788386931</v>
      </c>
      <c r="Q20" s="41">
        <f>AVERAGE(P20:P25)</f>
        <v>-11.152915788386933</v>
      </c>
      <c r="R20" s="173">
        <f>'32'!$C26</f>
        <v>-23.600468580054311</v>
      </c>
      <c r="S20" s="41">
        <f>AVERAGE(R20:R25)</f>
        <v>-11.100468580054311</v>
      </c>
      <c r="T20" s="173">
        <f>'33'!$C26</f>
        <v>0.21804285858598682</v>
      </c>
      <c r="U20" s="41">
        <f>AVERAGE(T20:T25)</f>
        <v>0.21804285858598682</v>
      </c>
      <c r="V20" s="173">
        <f>'34'!$C26</f>
        <v>7.2347540834272195E-2</v>
      </c>
      <c r="W20" s="41">
        <f>AVERAGE(V20:V25)</f>
        <v>7.2347540834272195E-2</v>
      </c>
      <c r="X20" s="173">
        <f>'35'!$C26</f>
        <v>7.2347540834289958E-2</v>
      </c>
      <c r="Y20" s="41">
        <f>AVERAGE(X20:X25)</f>
        <v>7.2347540834289958E-2</v>
      </c>
      <c r="Z20" s="173">
        <f>'36'!$C26</f>
        <v>-5.3175024739250638</v>
      </c>
      <c r="AA20" s="41">
        <f>AVERAGE(Z20:Z25)</f>
        <v>-5.3175024739250638</v>
      </c>
      <c r="AB20" s="173">
        <f>'37'!$C26</f>
        <v>28.930617597308675</v>
      </c>
      <c r="AC20" s="41">
        <f>AVERAGE(AB20:AB25)</f>
        <v>16.430617597308672</v>
      </c>
      <c r="AD20" s="173">
        <f>'38'!$C26</f>
        <v>23.560667915050988</v>
      </c>
      <c r="AE20" s="41">
        <f>AVERAGE(AD20:AD25)</f>
        <v>11.060667915050987</v>
      </c>
      <c r="AF20" s="173">
        <f>'39'!$C26</f>
        <v>23.652915788386931</v>
      </c>
      <c r="AG20" s="41">
        <f>AVERAGE(AF20:AF25)</f>
        <v>11.152915788386933</v>
      </c>
      <c r="AH20" s="173">
        <f>'40'!$C26</f>
        <v>54.17063637706373</v>
      </c>
      <c r="AI20" s="41">
        <f>AVERAGE(AH20:AH25)</f>
        <v>29.17063637706374</v>
      </c>
      <c r="AJ20" s="173">
        <f>'41'!$C26</f>
        <v>16.78811098809706</v>
      </c>
      <c r="AK20" s="41">
        <f>AVERAGE(AJ20:AJ25)</f>
        <v>4.2881109880970598</v>
      </c>
      <c r="AL20" s="173">
        <f>'42'!$C26</f>
        <v>23.600468580054311</v>
      </c>
      <c r="AM20" s="41">
        <f>AVERAGE(AL20:AL25)</f>
        <v>11.100468580054311</v>
      </c>
    </row>
    <row r="21" spans="2:39" x14ac:dyDescent="0.45">
      <c r="B21" s="114">
        <f>Input!C12</f>
        <v>35</v>
      </c>
      <c r="D21" s="173">
        <f>'25'!$C27</f>
        <v>-0.21804285858598504</v>
      </c>
      <c r="E21" s="50"/>
      <c r="F21" s="173">
        <f>'26'!$C27</f>
        <v>-7.2347540834272195E-2</v>
      </c>
      <c r="G21" s="50"/>
      <c r="H21" s="173">
        <f>'27'!$C27</f>
        <v>-7.2347540834286406E-2</v>
      </c>
      <c r="I21" s="50"/>
      <c r="J21" s="173">
        <f>'28'!$C27</f>
        <v>5.3175024739250638</v>
      </c>
      <c r="K21" s="50"/>
      <c r="L21" s="173">
        <f>'29'!$C27</f>
        <v>-23.930617597308672</v>
      </c>
      <c r="M21" s="50"/>
      <c r="N21" s="173">
        <f>'30'!$C27</f>
        <v>-18.560667915050988</v>
      </c>
      <c r="O21" s="50"/>
      <c r="P21" s="173">
        <f>'31'!$C27</f>
        <v>-18.652915788386931</v>
      </c>
      <c r="Q21" s="50"/>
      <c r="R21" s="173">
        <f>'32'!$C27</f>
        <v>-18.600468580054311</v>
      </c>
      <c r="S21" s="50"/>
      <c r="T21" s="173">
        <f>'33'!$C27</f>
        <v>0.21804285858598682</v>
      </c>
      <c r="U21" s="50"/>
      <c r="V21" s="173">
        <f>'34'!$C27</f>
        <v>7.2347540834272195E-2</v>
      </c>
      <c r="W21" s="50"/>
      <c r="X21" s="173">
        <f>'35'!$C27</f>
        <v>7.2347540834289958E-2</v>
      </c>
      <c r="Y21" s="50"/>
      <c r="Z21" s="173">
        <f>'36'!$C27</f>
        <v>-5.3175024739250638</v>
      </c>
      <c r="AA21" s="50"/>
      <c r="AB21" s="173">
        <f>'37'!$C27</f>
        <v>23.930617597308675</v>
      </c>
      <c r="AC21" s="50"/>
      <c r="AD21" s="173">
        <f>'38'!$C27</f>
        <v>18.560667915050988</v>
      </c>
      <c r="AE21" s="50"/>
      <c r="AF21" s="173">
        <f>'39'!$C27</f>
        <v>18.652915788386931</v>
      </c>
      <c r="AG21" s="50"/>
      <c r="AH21" s="173">
        <f>'40'!$C27</f>
        <v>44.17063637706373</v>
      </c>
      <c r="AI21" s="50"/>
      <c r="AJ21" s="173">
        <f>'41'!$C27</f>
        <v>11.78811098809706</v>
      </c>
      <c r="AK21" s="50"/>
      <c r="AL21" s="173">
        <f>'42'!$C27</f>
        <v>18.600468580054311</v>
      </c>
      <c r="AM21" s="50"/>
    </row>
    <row r="22" spans="2:39" x14ac:dyDescent="0.45">
      <c r="B22" s="114">
        <f>Input!C13</f>
        <v>40</v>
      </c>
      <c r="D22" s="173">
        <f>'25'!$C28</f>
        <v>-0.21804285858598504</v>
      </c>
      <c r="E22" s="50"/>
      <c r="F22" s="173">
        <f>'26'!$C28</f>
        <v>-7.2347540834272195E-2</v>
      </c>
      <c r="G22" s="50"/>
      <c r="H22" s="173">
        <f>'27'!$C28</f>
        <v>-7.2347540834286406E-2</v>
      </c>
      <c r="I22" s="50"/>
      <c r="J22" s="173">
        <f>'28'!$C28</f>
        <v>5.3175024739250638</v>
      </c>
      <c r="K22" s="50"/>
      <c r="L22" s="173">
        <f>'29'!$C28</f>
        <v>-18.930617597308672</v>
      </c>
      <c r="M22" s="50"/>
      <c r="N22" s="173">
        <f>'30'!$C28</f>
        <v>-13.560667915050988</v>
      </c>
      <c r="O22" s="50"/>
      <c r="P22" s="173">
        <f>'31'!$C28</f>
        <v>-13.652915788386931</v>
      </c>
      <c r="Q22" s="50"/>
      <c r="R22" s="173">
        <f>'32'!$C28</f>
        <v>-13.600468580054311</v>
      </c>
      <c r="S22" s="50"/>
      <c r="T22" s="173">
        <f>'33'!$C28</f>
        <v>0.21804285858598682</v>
      </c>
      <c r="U22" s="50"/>
      <c r="V22" s="173">
        <f>'34'!$C28</f>
        <v>7.2347540834272195E-2</v>
      </c>
      <c r="W22" s="50"/>
      <c r="X22" s="173">
        <f>'35'!$C28</f>
        <v>7.2347540834289958E-2</v>
      </c>
      <c r="Y22" s="50"/>
      <c r="Z22" s="173">
        <f>'36'!$C28</f>
        <v>-5.3175024739250638</v>
      </c>
      <c r="AA22" s="50"/>
      <c r="AB22" s="173">
        <f>'37'!$C28</f>
        <v>18.930617597308675</v>
      </c>
      <c r="AC22" s="50"/>
      <c r="AD22" s="173">
        <f>'38'!$C28</f>
        <v>13.560667915050988</v>
      </c>
      <c r="AE22" s="50"/>
      <c r="AF22" s="173">
        <f>'39'!$C28</f>
        <v>13.652915788386931</v>
      </c>
      <c r="AG22" s="50"/>
      <c r="AH22" s="173">
        <f>'40'!$C28</f>
        <v>34.17063637706373</v>
      </c>
      <c r="AI22" s="50"/>
      <c r="AJ22" s="173">
        <f>'41'!$C28</f>
        <v>6.7881109880970598</v>
      </c>
      <c r="AK22" s="50"/>
      <c r="AL22" s="173">
        <f>'42'!$C28</f>
        <v>13.600468580054311</v>
      </c>
      <c r="AM22" s="50"/>
    </row>
    <row r="23" spans="2:39" x14ac:dyDescent="0.45">
      <c r="B23" s="114">
        <f>Input!C14</f>
        <v>45</v>
      </c>
      <c r="D23" s="173">
        <f>'25'!$C29</f>
        <v>-0.21804285858598504</v>
      </c>
      <c r="E23" s="50"/>
      <c r="F23" s="173">
        <f>'26'!$C29</f>
        <v>-7.2347540834272195E-2</v>
      </c>
      <c r="G23" s="50"/>
      <c r="H23" s="173">
        <f>'27'!$C29</f>
        <v>-7.2347540834289958E-2</v>
      </c>
      <c r="I23" s="50"/>
      <c r="J23" s="173">
        <f>'28'!$C29</f>
        <v>5.3175024739250638</v>
      </c>
      <c r="K23" s="50"/>
      <c r="L23" s="173">
        <f>'29'!$C29</f>
        <v>-13.930617597308672</v>
      </c>
      <c r="M23" s="50"/>
      <c r="N23" s="173">
        <f>'30'!$C29</f>
        <v>-8.5606679150509883</v>
      </c>
      <c r="O23" s="50"/>
      <c r="P23" s="173">
        <f>'31'!$C29</f>
        <v>-8.652915788386931</v>
      </c>
      <c r="Q23" s="50"/>
      <c r="R23" s="173">
        <f>'32'!$C29</f>
        <v>-8.6004685800543115</v>
      </c>
      <c r="S23" s="50"/>
      <c r="T23" s="173">
        <f>'33'!$C29</f>
        <v>0.21804285858598682</v>
      </c>
      <c r="U23" s="50"/>
      <c r="V23" s="173">
        <f>'34'!$C29</f>
        <v>7.2347540834272195E-2</v>
      </c>
      <c r="W23" s="50"/>
      <c r="X23" s="173">
        <f>'35'!$C29</f>
        <v>7.2347540834289958E-2</v>
      </c>
      <c r="Y23" s="50"/>
      <c r="Z23" s="173">
        <f>'36'!$C29</f>
        <v>-5.3175024739250638</v>
      </c>
      <c r="AA23" s="50"/>
      <c r="AB23" s="173">
        <f>'37'!$C29</f>
        <v>13.930617597308672</v>
      </c>
      <c r="AC23" s="50"/>
      <c r="AD23" s="173">
        <f>'38'!$C29</f>
        <v>8.5606679150509883</v>
      </c>
      <c r="AE23" s="50"/>
      <c r="AF23" s="173">
        <f>'39'!$C29</f>
        <v>8.652915788386931</v>
      </c>
      <c r="AG23" s="50"/>
      <c r="AH23" s="173">
        <f>'40'!$C29</f>
        <v>24.170636377063733</v>
      </c>
      <c r="AI23" s="50"/>
      <c r="AJ23" s="173">
        <f>'41'!$C29</f>
        <v>1.7881109880970598</v>
      </c>
      <c r="AK23" s="50"/>
      <c r="AL23" s="173">
        <f>'42'!$C29</f>
        <v>8.6004685800543115</v>
      </c>
      <c r="AM23" s="50"/>
    </row>
    <row r="24" spans="2:39" x14ac:dyDescent="0.45">
      <c r="B24" s="114">
        <f>Input!C15</f>
        <v>50</v>
      </c>
      <c r="D24" s="173">
        <f>'25'!$C30</f>
        <v>-0.21804285858598504</v>
      </c>
      <c r="E24" s="50"/>
      <c r="F24" s="173">
        <f>'26'!$C30</f>
        <v>-7.2347540834272195E-2</v>
      </c>
      <c r="G24" s="50"/>
      <c r="H24" s="173">
        <f>'27'!$C30</f>
        <v>-7.2347540834289958E-2</v>
      </c>
      <c r="I24" s="50"/>
      <c r="J24" s="173">
        <f>'28'!$C30</f>
        <v>5.3175024739250638</v>
      </c>
      <c r="K24" s="50"/>
      <c r="L24" s="173">
        <f>'29'!$C30</f>
        <v>-8.9306175973086717</v>
      </c>
      <c r="M24" s="50"/>
      <c r="N24" s="173">
        <f>'30'!$C30</f>
        <v>-3.5606679150509883</v>
      </c>
      <c r="O24" s="50"/>
      <c r="P24" s="173">
        <f>'31'!$C30</f>
        <v>-3.652915788386931</v>
      </c>
      <c r="Q24" s="50"/>
      <c r="R24" s="173">
        <f>'32'!$C30</f>
        <v>-3.6004685800543115</v>
      </c>
      <c r="S24" s="50"/>
      <c r="T24" s="173">
        <f>'33'!$C30</f>
        <v>0.21804285858598682</v>
      </c>
      <c r="U24" s="50"/>
      <c r="V24" s="173">
        <f>'34'!$C30</f>
        <v>7.2347540834272195E-2</v>
      </c>
      <c r="W24" s="50"/>
      <c r="X24" s="173">
        <f>'35'!$C30</f>
        <v>7.2347540834289958E-2</v>
      </c>
      <c r="Y24" s="50"/>
      <c r="Z24" s="173">
        <f>'36'!$C30</f>
        <v>-5.3175024739250638</v>
      </c>
      <c r="AA24" s="50"/>
      <c r="AB24" s="173">
        <f>'37'!$C30</f>
        <v>8.9306175973086717</v>
      </c>
      <c r="AC24" s="50"/>
      <c r="AD24" s="173">
        <f>'38'!$C30</f>
        <v>3.5606679150509883</v>
      </c>
      <c r="AE24" s="50"/>
      <c r="AF24" s="173">
        <f>'39'!$C30</f>
        <v>3.652915788386931</v>
      </c>
      <c r="AG24" s="50"/>
      <c r="AH24" s="173">
        <f>'40'!$C30</f>
        <v>14.170636377063733</v>
      </c>
      <c r="AI24" s="50"/>
      <c r="AJ24" s="173">
        <f>'41'!$C30</f>
        <v>-3.2118890119029402</v>
      </c>
      <c r="AK24" s="50"/>
      <c r="AL24" s="173">
        <f>'42'!$C30</f>
        <v>3.6004685800543115</v>
      </c>
      <c r="AM24" s="50"/>
    </row>
    <row r="25" spans="2:39" x14ac:dyDescent="0.45">
      <c r="B25" s="114">
        <f>Input!C16</f>
        <v>55</v>
      </c>
      <c r="D25" s="173">
        <f>'25'!$C31</f>
        <v>-0.21804285858598504</v>
      </c>
      <c r="E25" s="40">
        <f>AVERAGE(D25:D31)</f>
        <v>6.7671427128300418E-2</v>
      </c>
      <c r="F25" s="173">
        <f>'26'!$C31</f>
        <v>-7.2347540834272195E-2</v>
      </c>
      <c r="G25" s="40">
        <f>AVERAGE(F25:F31)</f>
        <v>0.21336674488001353</v>
      </c>
      <c r="H25" s="173">
        <f>'27'!$C31</f>
        <v>-7.2347540834289958E-2</v>
      </c>
      <c r="I25" s="40">
        <f>AVERAGE(H25:H31)</f>
        <v>0.21336674487999577</v>
      </c>
      <c r="J25" s="173">
        <f>'28'!$C31</f>
        <v>5.3175024739250638</v>
      </c>
      <c r="K25" s="40">
        <f>AVERAGE(J25:J31)</f>
        <v>3.0317881882107782</v>
      </c>
      <c r="L25" s="173">
        <f>'29'!$C31</f>
        <v>-3.9306175973086717</v>
      </c>
      <c r="M25" s="40">
        <f>AVERAGE(L25:L31)</f>
        <v>4.7836681169770419</v>
      </c>
      <c r="N25" s="173">
        <f>'30'!$C31</f>
        <v>1.4393320849490117</v>
      </c>
      <c r="O25" s="40">
        <f>AVERAGE(N25:N31)</f>
        <v>7.5821892278061558</v>
      </c>
      <c r="P25" s="173">
        <f>'31'!$C31</f>
        <v>1.347084211613069</v>
      </c>
      <c r="Q25" s="40">
        <f>AVERAGE(P25:P31)</f>
        <v>7.7756556401844961</v>
      </c>
      <c r="R25" s="173">
        <f>'32'!$C31</f>
        <v>1.3995314199456885</v>
      </c>
      <c r="S25" s="40">
        <f>AVERAGE(R25:R31)</f>
        <v>7.5423885628028318</v>
      </c>
      <c r="T25" s="173">
        <f>'33'!$C31</f>
        <v>0.21804285858598682</v>
      </c>
      <c r="U25" s="40">
        <f>AVERAGE(T25:T31)</f>
        <v>-6.767142712829928E-2</v>
      </c>
      <c r="V25" s="173">
        <f>'34'!$C31</f>
        <v>7.2347540834272195E-2</v>
      </c>
      <c r="W25" s="40">
        <f>AVERAGE(V25:V31)</f>
        <v>-0.21336674488001353</v>
      </c>
      <c r="X25" s="173">
        <f>'35'!$C31</f>
        <v>7.2347540834289958E-2</v>
      </c>
      <c r="Y25" s="40">
        <f>AVERAGE(X25:X31)</f>
        <v>-0.21336674487999577</v>
      </c>
      <c r="Z25" s="173">
        <f>'36'!$C31</f>
        <v>-5.3175024739250638</v>
      </c>
      <c r="AA25" s="40">
        <f>AVERAGE(Z25:Z31)</f>
        <v>-3.0317881882107782</v>
      </c>
      <c r="AB25" s="173">
        <f>'37'!$C31</f>
        <v>3.9306175973086717</v>
      </c>
      <c r="AC25" s="40">
        <f>AVERAGE(AB25:AB31)</f>
        <v>-4.7836681169770419</v>
      </c>
      <c r="AD25" s="173">
        <f>'38'!$C31</f>
        <v>-1.4393320849490117</v>
      </c>
      <c r="AE25" s="40">
        <f>AVERAGE(AD25:AD31)</f>
        <v>-7.5821892278061558</v>
      </c>
      <c r="AF25" s="173">
        <f>'39'!$C31</f>
        <v>-1.347084211613069</v>
      </c>
      <c r="AG25" s="40">
        <f>AVERAGE(AF25:AF31)</f>
        <v>-7.7756556401844961</v>
      </c>
      <c r="AH25" s="173">
        <f>'40'!$C31</f>
        <v>4.1706363770637331</v>
      </c>
      <c r="AI25" s="40">
        <f>AVERAGE(AH25:AH31)</f>
        <v>-12.972220765793411</v>
      </c>
      <c r="AJ25" s="173">
        <f>'41'!$C31</f>
        <v>-8.2118890119029402</v>
      </c>
      <c r="AK25" s="40">
        <f>AVERAGE(AJ25:AJ31)</f>
        <v>-10.354746154760083</v>
      </c>
      <c r="AL25" s="173">
        <f>'42'!$C31</f>
        <v>-1.3995314199456885</v>
      </c>
      <c r="AM25" s="40">
        <f>AVERAGE(AL25:AL31)</f>
        <v>-7.5423885628028318</v>
      </c>
    </row>
    <row r="26" spans="2:39" x14ac:dyDescent="0.45">
      <c r="B26" s="114">
        <f>Input!C17</f>
        <v>60</v>
      </c>
      <c r="D26" s="173">
        <f>'25'!$C32</f>
        <v>-0.21804285858598504</v>
      </c>
      <c r="E26" s="50"/>
      <c r="F26" s="173">
        <f>'26'!$C32</f>
        <v>-7.2347540834272195E-2</v>
      </c>
      <c r="G26" s="50"/>
      <c r="H26" s="173">
        <f>'27'!$C32</f>
        <v>-7.2347540834289958E-2</v>
      </c>
      <c r="I26" s="50"/>
      <c r="J26" s="173">
        <f>'28'!$C32</f>
        <v>5.3175024739250638</v>
      </c>
      <c r="K26" s="50"/>
      <c r="L26" s="173">
        <f>'29'!$C32</f>
        <v>1.0693824026913283</v>
      </c>
      <c r="M26" s="50"/>
      <c r="N26" s="173">
        <f>'30'!$C32</f>
        <v>6.4393320849490117</v>
      </c>
      <c r="O26" s="50"/>
      <c r="P26" s="173">
        <f>'31'!$C32</f>
        <v>6.347084211613069</v>
      </c>
      <c r="Q26" s="50"/>
      <c r="R26" s="173">
        <f>'32'!$C32</f>
        <v>6.3995314199456885</v>
      </c>
      <c r="S26" s="50"/>
      <c r="T26" s="173">
        <f>'33'!$C32</f>
        <v>0.21804285858598682</v>
      </c>
      <c r="U26" s="50"/>
      <c r="V26" s="173">
        <f>'34'!$C32</f>
        <v>7.2347540834272195E-2</v>
      </c>
      <c r="W26" s="50"/>
      <c r="X26" s="173">
        <f>'35'!$C32</f>
        <v>7.2347540834289958E-2</v>
      </c>
      <c r="Y26" s="50"/>
      <c r="Z26" s="173">
        <f>'36'!$C32</f>
        <v>-5.3175024739250638</v>
      </c>
      <c r="AA26" s="50"/>
      <c r="AB26" s="173">
        <f>'37'!$C32</f>
        <v>-1.0693824026913283</v>
      </c>
      <c r="AC26" s="50"/>
      <c r="AD26" s="173">
        <f>'38'!$C32</f>
        <v>-6.4393320849490117</v>
      </c>
      <c r="AE26" s="50"/>
      <c r="AF26" s="173">
        <f>'39'!$C32</f>
        <v>-6.347084211613069</v>
      </c>
      <c r="AG26" s="50"/>
      <c r="AH26" s="173">
        <f>'40'!$C32</f>
        <v>-5.8293636229362669</v>
      </c>
      <c r="AI26" s="50"/>
      <c r="AJ26" s="173">
        <f>'41'!$C32</f>
        <v>-13.21188901190294</v>
      </c>
      <c r="AK26" s="50"/>
      <c r="AL26" s="173">
        <f>'42'!$C32</f>
        <v>-6.3995314199456885</v>
      </c>
      <c r="AM26" s="50"/>
    </row>
    <row r="27" spans="2:39" x14ac:dyDescent="0.45">
      <c r="B27" s="114">
        <f>Input!C18</f>
        <v>65</v>
      </c>
      <c r="D27" s="173">
        <f>'25'!$C33</f>
        <v>-0.21804285858598504</v>
      </c>
      <c r="E27" s="50"/>
      <c r="F27" s="173">
        <f>'26'!$C33</f>
        <v>-7.2347540834272195E-2</v>
      </c>
      <c r="G27" s="50"/>
      <c r="H27" s="173">
        <f>'27'!$C33</f>
        <v>-7.2347540834289958E-2</v>
      </c>
      <c r="I27" s="50"/>
      <c r="J27" s="173">
        <f>'28'!$C33</f>
        <v>5.3175024739250638</v>
      </c>
      <c r="K27" s="50"/>
      <c r="L27" s="173">
        <f>'29'!$C33</f>
        <v>6.0693824026913283</v>
      </c>
      <c r="M27" s="50"/>
      <c r="N27" s="173">
        <f>'30'!$C33</f>
        <v>11.439332084949012</v>
      </c>
      <c r="O27" s="50"/>
      <c r="P27" s="173">
        <f>'31'!$C33</f>
        <v>11.347084211613069</v>
      </c>
      <c r="Q27" s="50"/>
      <c r="R27" s="173">
        <f>'32'!$C33</f>
        <v>11.399531419945689</v>
      </c>
      <c r="S27" s="50"/>
      <c r="T27" s="173">
        <f>'33'!$C33</f>
        <v>0.21804285858598682</v>
      </c>
      <c r="U27" s="50"/>
      <c r="V27" s="173">
        <f>'34'!$C33</f>
        <v>7.2347540834272195E-2</v>
      </c>
      <c r="W27" s="50"/>
      <c r="X27" s="173">
        <f>'35'!$C33</f>
        <v>7.2347540834289958E-2</v>
      </c>
      <c r="Y27" s="50"/>
      <c r="Z27" s="173">
        <f>'36'!$C33</f>
        <v>-5.3175024739250638</v>
      </c>
      <c r="AA27" s="50"/>
      <c r="AB27" s="173">
        <f>'37'!$C33</f>
        <v>-6.0693824026913283</v>
      </c>
      <c r="AC27" s="50"/>
      <c r="AD27" s="173">
        <f>'38'!$C33</f>
        <v>-11.439332084949012</v>
      </c>
      <c r="AE27" s="50"/>
      <c r="AF27" s="173">
        <f>'39'!$C33</f>
        <v>-11.347084211613069</v>
      </c>
      <c r="AG27" s="50"/>
      <c r="AH27" s="173">
        <f>'40'!$C33</f>
        <v>-15.829363622936267</v>
      </c>
      <c r="AI27" s="50"/>
      <c r="AJ27" s="173">
        <f>'41'!$C33</f>
        <v>-18.21188901190294</v>
      </c>
      <c r="AK27" s="50"/>
      <c r="AL27" s="173">
        <f>'42'!$C33</f>
        <v>-11.399531419945689</v>
      </c>
      <c r="AM27" s="50"/>
    </row>
    <row r="28" spans="2:39" x14ac:dyDescent="0.45">
      <c r="B28" s="114">
        <f>Input!C19</f>
        <v>70</v>
      </c>
      <c r="D28" s="173">
        <f>'25'!$C34</f>
        <v>1.781957141414015</v>
      </c>
      <c r="E28" s="50"/>
      <c r="F28" s="173">
        <f>'26'!$C34</f>
        <v>1.9276524591657278</v>
      </c>
      <c r="G28" s="50"/>
      <c r="H28" s="173">
        <f>'27'!$C34</f>
        <v>1.92765245916571</v>
      </c>
      <c r="I28" s="50"/>
      <c r="J28" s="173">
        <f>'28'!$C34</f>
        <v>7.3175024739250638</v>
      </c>
      <c r="K28" s="50"/>
      <c r="L28" s="173">
        <f>'29'!$C34</f>
        <v>9.0693824026913283</v>
      </c>
      <c r="M28" s="50"/>
      <c r="N28" s="173">
        <f>'30'!$C34</f>
        <v>14.439332084949012</v>
      </c>
      <c r="O28" s="50"/>
      <c r="P28" s="173">
        <f>'31'!$C34</f>
        <v>16.347084211613069</v>
      </c>
      <c r="Q28" s="50"/>
      <c r="R28" s="173">
        <f>'32'!$C34</f>
        <v>14.399531419945689</v>
      </c>
      <c r="S28" s="50"/>
      <c r="T28" s="173">
        <f>'33'!$C34</f>
        <v>-1.7819571414140141</v>
      </c>
      <c r="U28" s="50"/>
      <c r="V28" s="173">
        <f>'34'!$C34</f>
        <v>-1.9276524591657278</v>
      </c>
      <c r="W28" s="50"/>
      <c r="X28" s="173">
        <f>'35'!$C34</f>
        <v>-1.92765245916571</v>
      </c>
      <c r="Y28" s="50"/>
      <c r="Z28" s="173">
        <f>'36'!$C34</f>
        <v>-7.3175024739250638</v>
      </c>
      <c r="AA28" s="50"/>
      <c r="AB28" s="173">
        <f>'37'!$C34</f>
        <v>-9.0693824026913283</v>
      </c>
      <c r="AC28" s="50"/>
      <c r="AD28" s="173">
        <f>'38'!$C34</f>
        <v>-14.439332084949012</v>
      </c>
      <c r="AE28" s="50"/>
      <c r="AF28" s="173">
        <f>'39'!$C34</f>
        <v>-16.347084211613069</v>
      </c>
      <c r="AG28" s="50"/>
      <c r="AH28" s="173">
        <f>'40'!$C34</f>
        <v>-25.829363622936267</v>
      </c>
      <c r="AI28" s="50"/>
      <c r="AJ28" s="173">
        <f>'41'!$C34</f>
        <v>-23.21188901190294</v>
      </c>
      <c r="AK28" s="50"/>
      <c r="AL28" s="173">
        <f>'42'!$C34</f>
        <v>-14.399531419945689</v>
      </c>
      <c r="AM28" s="50"/>
    </row>
    <row r="29" spans="2:39" x14ac:dyDescent="0.45">
      <c r="B29" s="114">
        <f>Input!C20</f>
        <v>75</v>
      </c>
      <c r="D29" s="173">
        <f>'25'!$C35</f>
        <v>-0.21804285858598593</v>
      </c>
      <c r="E29" s="50"/>
      <c r="F29" s="173">
        <f>'26'!$C35</f>
        <v>-7.2347540834272195E-2</v>
      </c>
      <c r="G29" s="50"/>
      <c r="H29" s="173">
        <f>'27'!$C35</f>
        <v>-7.2347540834289958E-2</v>
      </c>
      <c r="I29" s="50"/>
      <c r="J29" s="173">
        <f>'28'!$C35</f>
        <v>4.3175024739250638</v>
      </c>
      <c r="K29" s="50"/>
      <c r="L29" s="173">
        <f>'29'!$C35</f>
        <v>7.0693824026913283</v>
      </c>
      <c r="M29" s="50"/>
      <c r="N29" s="173">
        <f>'30'!$C35</f>
        <v>11.439332084949012</v>
      </c>
      <c r="O29" s="50"/>
      <c r="P29" s="173">
        <f>'31'!$C35</f>
        <v>11.347084211613069</v>
      </c>
      <c r="Q29" s="50"/>
      <c r="R29" s="173">
        <f>'32'!$C35</f>
        <v>11.399531419945689</v>
      </c>
      <c r="S29" s="50"/>
      <c r="T29" s="173">
        <f>'33'!$C35</f>
        <v>0.21804285858598593</v>
      </c>
      <c r="U29" s="50"/>
      <c r="V29" s="173">
        <f>'34'!$C35</f>
        <v>7.2347540834272195E-2</v>
      </c>
      <c r="W29" s="50"/>
      <c r="X29" s="173">
        <f>'35'!$C35</f>
        <v>7.2347540834289958E-2</v>
      </c>
      <c r="Y29" s="50"/>
      <c r="Z29" s="173">
        <f>'36'!$C35</f>
        <v>-4.3175024739250638</v>
      </c>
      <c r="AA29" s="50"/>
      <c r="AB29" s="173">
        <f>'37'!$C35</f>
        <v>-7.0693824026913283</v>
      </c>
      <c r="AC29" s="50"/>
      <c r="AD29" s="173">
        <f>'38'!$C35</f>
        <v>-11.439332084949012</v>
      </c>
      <c r="AE29" s="50"/>
      <c r="AF29" s="173">
        <f>'39'!$C35</f>
        <v>-11.347084211613069</v>
      </c>
      <c r="AG29" s="50"/>
      <c r="AH29" s="173">
        <f>'40'!$C35</f>
        <v>-20.829363622936267</v>
      </c>
      <c r="AI29" s="50"/>
      <c r="AJ29" s="173">
        <f>'41'!$C35</f>
        <v>-13.21188901190294</v>
      </c>
      <c r="AK29" s="50"/>
      <c r="AL29" s="173">
        <f>'42'!$C35</f>
        <v>-11.399531419945689</v>
      </c>
      <c r="AM29" s="50"/>
    </row>
    <row r="30" spans="2:39" x14ac:dyDescent="0.45">
      <c r="B30" s="114">
        <f>Input!C21</f>
        <v>80</v>
      </c>
      <c r="D30" s="173">
        <f>'25'!$C36</f>
        <v>-0.21804285858598593</v>
      </c>
      <c r="E30" s="50"/>
      <c r="F30" s="173">
        <f>'26'!$C36</f>
        <v>-7.2347540834272195E-2</v>
      </c>
      <c r="G30" s="50"/>
      <c r="H30" s="173">
        <f>'27'!$C36</f>
        <v>-7.2347540834289958E-2</v>
      </c>
      <c r="I30" s="50"/>
      <c r="J30" s="173">
        <f>'28'!$C36</f>
        <v>-0.68249752607493619</v>
      </c>
      <c r="K30" s="50"/>
      <c r="L30" s="173">
        <f>'29'!$C36</f>
        <v>7.0693824026913283</v>
      </c>
      <c r="M30" s="50"/>
      <c r="N30" s="173">
        <f>'30'!$C36</f>
        <v>6.4393320849490117</v>
      </c>
      <c r="O30" s="50"/>
      <c r="P30" s="173">
        <f>'31'!$C36</f>
        <v>6.347084211613069</v>
      </c>
      <c r="Q30" s="50"/>
      <c r="R30" s="173">
        <f>'32'!$C36</f>
        <v>6.3995314199456885</v>
      </c>
      <c r="S30" s="50"/>
      <c r="T30" s="173">
        <f>'33'!$C36</f>
        <v>0.21804285858598593</v>
      </c>
      <c r="U30" s="50"/>
      <c r="V30" s="173">
        <f>'34'!$C36</f>
        <v>7.2347540834272195E-2</v>
      </c>
      <c r="W30" s="50"/>
      <c r="X30" s="173">
        <f>'35'!$C36</f>
        <v>7.2347540834289958E-2</v>
      </c>
      <c r="Y30" s="50"/>
      <c r="Z30" s="173">
        <f>'36'!$C36</f>
        <v>0.68249752607493619</v>
      </c>
      <c r="AA30" s="50"/>
      <c r="AB30" s="173">
        <f>'37'!$C36</f>
        <v>-7.0693824026913283</v>
      </c>
      <c r="AC30" s="50"/>
      <c r="AD30" s="173">
        <f>'38'!$C36</f>
        <v>-6.4393320849490117</v>
      </c>
      <c r="AE30" s="50"/>
      <c r="AF30" s="173">
        <f>'39'!$C36</f>
        <v>-6.347084211613069</v>
      </c>
      <c r="AG30" s="50"/>
      <c r="AH30" s="173">
        <f>'40'!$C36</f>
        <v>-15.829363622936267</v>
      </c>
      <c r="AI30" s="50"/>
      <c r="AJ30" s="173">
        <f>'41'!$C36</f>
        <v>-3.2118890119029402</v>
      </c>
      <c r="AK30" s="50"/>
      <c r="AL30" s="173">
        <f>'42'!$C36</f>
        <v>-6.3995314199456885</v>
      </c>
      <c r="AM30" s="50"/>
    </row>
    <row r="31" spans="2:39" x14ac:dyDescent="0.45">
      <c r="B31" s="114">
        <f>Input!C22</f>
        <v>85</v>
      </c>
      <c r="D31" s="173">
        <f>'25'!$C37</f>
        <v>-0.21804285858598504</v>
      </c>
      <c r="E31" s="39">
        <f>AVERAGE(D31:D36)</f>
        <v>-0.21804285858598918</v>
      </c>
      <c r="F31" s="173">
        <f>'26'!$C37</f>
        <v>-7.2347540834272195E-2</v>
      </c>
      <c r="G31" s="39">
        <f>AVERAGE(F31:F36)</f>
        <v>-7.2347540834272195E-2</v>
      </c>
      <c r="H31" s="173">
        <f>'27'!$C37</f>
        <v>-7.2347540834289958E-2</v>
      </c>
      <c r="I31" s="39">
        <f>AVERAGE(H31:H36)</f>
        <v>-7.2347540834289958E-2</v>
      </c>
      <c r="J31" s="173">
        <f>'28'!$C37</f>
        <v>-5.6824975260749362</v>
      </c>
      <c r="K31" s="39">
        <f>AVERAGE(J31:J36)</f>
        <v>-18.182497526074936</v>
      </c>
      <c r="L31" s="173">
        <f>'29'!$C37</f>
        <v>7.0693824026913283</v>
      </c>
      <c r="M31" s="39">
        <f>AVERAGE(L31:L36)</f>
        <v>7.0693824026913292</v>
      </c>
      <c r="N31" s="173">
        <f>'30'!$C37</f>
        <v>1.4393320849490117</v>
      </c>
      <c r="O31" s="39">
        <f>AVERAGE(N31:N36)</f>
        <v>-11.060667915050987</v>
      </c>
      <c r="P31" s="173">
        <f>'31'!$C37</f>
        <v>1.347084211613069</v>
      </c>
      <c r="Q31" s="39">
        <f>AVERAGE(P31:P36)</f>
        <v>-11.152915788386929</v>
      </c>
      <c r="R31" s="173">
        <f>'32'!$C37</f>
        <v>1.3995314199456885</v>
      </c>
      <c r="S31" s="39">
        <f>AVERAGE(R31:R36)</f>
        <v>-11.100468580054311</v>
      </c>
      <c r="T31" s="173">
        <f>'33'!$C37</f>
        <v>0.21804285858598682</v>
      </c>
      <c r="U31" s="39">
        <f>AVERAGE(T31:T36)</f>
        <v>0.21804285858598682</v>
      </c>
      <c r="V31" s="173">
        <f>'34'!$C37</f>
        <v>7.2347540834272195E-2</v>
      </c>
      <c r="W31" s="39">
        <f>AVERAGE(V31:V36)</f>
        <v>7.2347540834271015E-2</v>
      </c>
      <c r="X31" s="173">
        <f>'35'!$C37</f>
        <v>7.2347540834289958E-2</v>
      </c>
      <c r="Y31" s="39">
        <f>AVERAGE(X31:X36)</f>
        <v>7.2347540834289958E-2</v>
      </c>
      <c r="Z31" s="173">
        <f>'36'!$C37</f>
        <v>5.6824975260749362</v>
      </c>
      <c r="AA31" s="39">
        <f>AVERAGE(Z31:Z36)</f>
        <v>18.182497526074936</v>
      </c>
      <c r="AB31" s="173">
        <f>'37'!$C37</f>
        <v>-7.0693824026913283</v>
      </c>
      <c r="AC31" s="39">
        <f>AVERAGE(AB31:AB36)</f>
        <v>-7.0693824026913292</v>
      </c>
      <c r="AD31" s="173">
        <f>'38'!$C37</f>
        <v>-1.4393320849490117</v>
      </c>
      <c r="AE31" s="39">
        <f>AVERAGE(AD31:AD36)</f>
        <v>11.060667915050987</v>
      </c>
      <c r="AF31" s="173">
        <f>'39'!$C37</f>
        <v>-1.347084211613069</v>
      </c>
      <c r="AG31" s="39">
        <f>AVERAGE(AF31:AF36)</f>
        <v>11.152915788386929</v>
      </c>
      <c r="AH31" s="173">
        <f>'40'!$C37</f>
        <v>-10.829363622936267</v>
      </c>
      <c r="AI31" s="39">
        <f>AVERAGE(AH31:AH36)</f>
        <v>1.6706363770637325</v>
      </c>
      <c r="AJ31" s="173">
        <f>'41'!$C37</f>
        <v>6.7881109880970598</v>
      </c>
      <c r="AK31" s="39">
        <f>AVERAGE(AJ31:AJ36)</f>
        <v>31.78811098809706</v>
      </c>
      <c r="AL31" s="173">
        <f>'42'!$C37</f>
        <v>-1.3995314199456885</v>
      </c>
      <c r="AM31" s="39">
        <f>AVERAGE(AL31:AL36)</f>
        <v>11.100468580054311</v>
      </c>
    </row>
    <row r="32" spans="2:39" x14ac:dyDescent="0.45">
      <c r="B32" s="114">
        <f>Input!C23</f>
        <v>90</v>
      </c>
      <c r="D32" s="173">
        <f>'25'!$C38</f>
        <v>-0.2180428585859886</v>
      </c>
      <c r="E32" s="50"/>
      <c r="F32" s="173">
        <f>'26'!$C38</f>
        <v>-7.2347540834272195E-2</v>
      </c>
      <c r="G32" s="50"/>
      <c r="H32" s="173">
        <f>'27'!$C38</f>
        <v>-7.2347540834289958E-2</v>
      </c>
      <c r="I32" s="50"/>
      <c r="J32" s="173">
        <f>'28'!$C38</f>
        <v>-10.682497526074936</v>
      </c>
      <c r="K32" s="50"/>
      <c r="L32" s="173">
        <f>'29'!$C38</f>
        <v>7.0693824026913283</v>
      </c>
      <c r="M32" s="50"/>
      <c r="N32" s="173">
        <f>'30'!$C38</f>
        <v>-3.5606679150509883</v>
      </c>
      <c r="O32" s="50"/>
      <c r="P32" s="173">
        <f>'31'!$C38</f>
        <v>-3.652915788386931</v>
      </c>
      <c r="Q32" s="50"/>
      <c r="R32" s="173">
        <f>'32'!$C38</f>
        <v>-3.6004685800543115</v>
      </c>
      <c r="S32" s="50"/>
      <c r="T32" s="173">
        <f>'33'!$C38</f>
        <v>0.21804285858598682</v>
      </c>
      <c r="U32" s="50"/>
      <c r="V32" s="173">
        <f>'34'!$C38</f>
        <v>7.2347540834272195E-2</v>
      </c>
      <c r="W32" s="50"/>
      <c r="X32" s="173">
        <f>'35'!$C38</f>
        <v>7.2347540834289958E-2</v>
      </c>
      <c r="Y32" s="50"/>
      <c r="Z32" s="173">
        <f>'36'!$C38</f>
        <v>10.682497526074936</v>
      </c>
      <c r="AA32" s="50"/>
      <c r="AB32" s="173">
        <f>'37'!$C38</f>
        <v>-7.0693824026913283</v>
      </c>
      <c r="AC32" s="50"/>
      <c r="AD32" s="173">
        <f>'38'!$C38</f>
        <v>3.5606679150509883</v>
      </c>
      <c r="AE32" s="50"/>
      <c r="AF32" s="173">
        <f>'39'!$C38</f>
        <v>3.652915788386931</v>
      </c>
      <c r="AG32" s="50"/>
      <c r="AH32" s="173">
        <f>'40'!$C38</f>
        <v>-5.8293636229362669</v>
      </c>
      <c r="AI32" s="50"/>
      <c r="AJ32" s="173">
        <f>'41'!$C38</f>
        <v>16.78811098809706</v>
      </c>
      <c r="AK32" s="50"/>
      <c r="AL32" s="173">
        <f>'42'!$C38</f>
        <v>3.6004685800543115</v>
      </c>
      <c r="AM32" s="50"/>
    </row>
    <row r="33" spans="2:39" x14ac:dyDescent="0.45">
      <c r="B33" s="114">
        <f>Input!C24</f>
        <v>95</v>
      </c>
      <c r="D33" s="173">
        <f>'25'!$C39</f>
        <v>-0.2180428585859886</v>
      </c>
      <c r="E33" s="50"/>
      <c r="F33" s="173">
        <f>'26'!$C39</f>
        <v>-7.2347540834272195E-2</v>
      </c>
      <c r="G33" s="50"/>
      <c r="H33" s="173">
        <f>'27'!$C39</f>
        <v>-7.2347540834289958E-2</v>
      </c>
      <c r="I33" s="50"/>
      <c r="J33" s="173">
        <f>'28'!$C39</f>
        <v>-15.682497526074936</v>
      </c>
      <c r="K33" s="50"/>
      <c r="L33" s="173">
        <f>'29'!$C39</f>
        <v>7.0693824026913283</v>
      </c>
      <c r="M33" s="50"/>
      <c r="N33" s="173">
        <f>'30'!$C39</f>
        <v>-8.5606679150509883</v>
      </c>
      <c r="O33" s="50"/>
      <c r="P33" s="173">
        <f>'31'!$C39</f>
        <v>-8.652915788386931</v>
      </c>
      <c r="Q33" s="50"/>
      <c r="R33" s="173">
        <f>'32'!$C39</f>
        <v>-8.6004685800543115</v>
      </c>
      <c r="S33" s="50"/>
      <c r="T33" s="173">
        <f>'33'!$C39</f>
        <v>0.2180428585859886</v>
      </c>
      <c r="U33" s="50"/>
      <c r="V33" s="173">
        <f>'34'!$C39</f>
        <v>7.2347540834272195E-2</v>
      </c>
      <c r="W33" s="50"/>
      <c r="X33" s="173">
        <f>'35'!$C39</f>
        <v>7.2347540834289958E-2</v>
      </c>
      <c r="Y33" s="50"/>
      <c r="Z33" s="173">
        <f>'36'!$C39</f>
        <v>15.682497526074933</v>
      </c>
      <c r="AA33" s="50"/>
      <c r="AB33" s="173">
        <f>'37'!$C39</f>
        <v>-7.0693824026913283</v>
      </c>
      <c r="AC33" s="50"/>
      <c r="AD33" s="173">
        <f>'38'!$C39</f>
        <v>8.5606679150509883</v>
      </c>
      <c r="AE33" s="50"/>
      <c r="AF33" s="173">
        <f>'39'!$C39</f>
        <v>8.652915788386931</v>
      </c>
      <c r="AG33" s="50"/>
      <c r="AH33" s="173">
        <f>'40'!$C39</f>
        <v>-0.82936362293626686</v>
      </c>
      <c r="AI33" s="50"/>
      <c r="AJ33" s="173">
        <f>'41'!$C39</f>
        <v>26.78811098809706</v>
      </c>
      <c r="AK33" s="50"/>
      <c r="AL33" s="173">
        <f>'42'!$C39</f>
        <v>8.6004685800543115</v>
      </c>
      <c r="AM33" s="50"/>
    </row>
    <row r="34" spans="2:39" x14ac:dyDescent="0.45">
      <c r="B34" s="114">
        <f>Input!C25</f>
        <v>100</v>
      </c>
      <c r="D34" s="173">
        <f>'25'!$C40</f>
        <v>-0.2180428585859886</v>
      </c>
      <c r="E34" s="50"/>
      <c r="F34" s="173">
        <f>'26'!$C40</f>
        <v>-7.2347540834272195E-2</v>
      </c>
      <c r="G34" s="50"/>
      <c r="H34" s="173">
        <f>'27'!$C40</f>
        <v>-7.2347540834289958E-2</v>
      </c>
      <c r="I34" s="50"/>
      <c r="J34" s="173">
        <f>'28'!$C40</f>
        <v>-20.682497526074936</v>
      </c>
      <c r="K34" s="50"/>
      <c r="L34" s="173">
        <f>'29'!$C40</f>
        <v>7.0693824026913283</v>
      </c>
      <c r="M34" s="50"/>
      <c r="N34" s="173">
        <f>'30'!$C40</f>
        <v>-13.560667915050988</v>
      </c>
      <c r="O34" s="50"/>
      <c r="P34" s="173">
        <f>'31'!$C40</f>
        <v>-13.652915788386931</v>
      </c>
      <c r="Q34" s="50"/>
      <c r="R34" s="173">
        <f>'32'!$C40</f>
        <v>-13.600468580054311</v>
      </c>
      <c r="S34" s="50"/>
      <c r="T34" s="173">
        <f>'33'!$C40</f>
        <v>0.2180428585859886</v>
      </c>
      <c r="U34" s="50"/>
      <c r="V34" s="173">
        <f>'34'!$C40</f>
        <v>7.2347540834272195E-2</v>
      </c>
      <c r="W34" s="50"/>
      <c r="X34" s="173">
        <f>'35'!$C40</f>
        <v>7.2347540834289958E-2</v>
      </c>
      <c r="Y34" s="50"/>
      <c r="Z34" s="173">
        <f>'36'!$C40</f>
        <v>20.682497526074933</v>
      </c>
      <c r="AA34" s="50"/>
      <c r="AB34" s="173">
        <f>'37'!$C40</f>
        <v>-7.0693824026913283</v>
      </c>
      <c r="AC34" s="50"/>
      <c r="AD34" s="173">
        <f>'38'!$C40</f>
        <v>13.560667915050988</v>
      </c>
      <c r="AE34" s="50"/>
      <c r="AF34" s="173">
        <f>'39'!$C40</f>
        <v>13.652915788386931</v>
      </c>
      <c r="AG34" s="50"/>
      <c r="AH34" s="173">
        <f>'40'!$C40</f>
        <v>4.1706363770637331</v>
      </c>
      <c r="AI34" s="50"/>
      <c r="AJ34" s="173">
        <f>'41'!$C40</f>
        <v>36.78811098809706</v>
      </c>
      <c r="AK34" s="50"/>
      <c r="AL34" s="173">
        <f>'42'!$C40</f>
        <v>13.600468580054311</v>
      </c>
      <c r="AM34" s="50"/>
    </row>
    <row r="35" spans="2:39" x14ac:dyDescent="0.45">
      <c r="B35" s="114">
        <f>Input!C26</f>
        <v>105</v>
      </c>
      <c r="D35" s="173">
        <f>'25'!$C41</f>
        <v>-0.2180428585859886</v>
      </c>
      <c r="E35" s="50"/>
      <c r="F35" s="173">
        <f>'26'!$C41</f>
        <v>-7.2347540834272195E-2</v>
      </c>
      <c r="G35" s="50"/>
      <c r="H35" s="173">
        <f>'27'!$C41</f>
        <v>-7.2347540834289958E-2</v>
      </c>
      <c r="I35" s="50"/>
      <c r="J35" s="173">
        <f>'28'!$C41</f>
        <v>-25.682497526074936</v>
      </c>
      <c r="K35" s="50"/>
      <c r="L35" s="173">
        <f>'29'!$C41</f>
        <v>7.0693824026913283</v>
      </c>
      <c r="M35" s="50"/>
      <c r="N35" s="173">
        <f>'30'!$C41</f>
        <v>-18.560667915050988</v>
      </c>
      <c r="O35" s="50"/>
      <c r="P35" s="173">
        <f>'31'!$C41</f>
        <v>-18.652915788386931</v>
      </c>
      <c r="Q35" s="50"/>
      <c r="R35" s="173">
        <f>'32'!$C41</f>
        <v>-18.600468580054311</v>
      </c>
      <c r="S35" s="50"/>
      <c r="T35" s="173">
        <f>'33'!$C41</f>
        <v>0.2180428585859886</v>
      </c>
      <c r="U35" s="50"/>
      <c r="V35" s="173">
        <f>'34'!$C41</f>
        <v>7.2347540834272195E-2</v>
      </c>
      <c r="W35" s="50"/>
      <c r="X35" s="173">
        <f>'35'!$C41</f>
        <v>7.2347540834289958E-2</v>
      </c>
      <c r="Y35" s="50"/>
      <c r="Z35" s="173">
        <f>'36'!$C41</f>
        <v>25.682497526074933</v>
      </c>
      <c r="AA35" s="50"/>
      <c r="AB35" s="173">
        <f>'37'!$C41</f>
        <v>-7.0693824026913283</v>
      </c>
      <c r="AC35" s="50"/>
      <c r="AD35" s="173">
        <f>'38'!$C41</f>
        <v>18.560667915050988</v>
      </c>
      <c r="AE35" s="50"/>
      <c r="AF35" s="173">
        <f>'39'!$C41</f>
        <v>18.652915788386931</v>
      </c>
      <c r="AG35" s="50"/>
      <c r="AH35" s="173">
        <f>'40'!$C41</f>
        <v>9.1706363770637331</v>
      </c>
      <c r="AI35" s="50"/>
      <c r="AJ35" s="173">
        <f>'41'!$C41</f>
        <v>46.78811098809706</v>
      </c>
      <c r="AK35" s="50"/>
      <c r="AL35" s="173">
        <f>'42'!$C41</f>
        <v>18.600468580054311</v>
      </c>
      <c r="AM35" s="50"/>
    </row>
    <row r="36" spans="2:39" x14ac:dyDescent="0.45">
      <c r="B36" s="114">
        <f>Input!C27</f>
        <v>110</v>
      </c>
      <c r="D36" s="173">
        <f>'25'!$C42</f>
        <v>-0.2180428585859957</v>
      </c>
      <c r="E36" s="51">
        <f>AVERAGE(D36:D42)</f>
        <v>-0.21804285858599468</v>
      </c>
      <c r="F36" s="173">
        <f>'26'!$C42</f>
        <v>-7.2347540834272195E-2</v>
      </c>
      <c r="G36" s="51">
        <f>AVERAGE(F36:F42)</f>
        <v>-7.2347540834272195E-2</v>
      </c>
      <c r="H36" s="173">
        <f>'27'!$C42</f>
        <v>-7.2347540834289958E-2</v>
      </c>
      <c r="I36" s="51">
        <f>AVERAGE(H36:H42)</f>
        <v>-7.2347540834289958E-2</v>
      </c>
      <c r="J36" s="173">
        <f>'28'!$C42</f>
        <v>-30.682497526074933</v>
      </c>
      <c r="K36" s="51">
        <f>AVERAGE(J36:J42)</f>
        <v>-45.682497526074933</v>
      </c>
      <c r="L36" s="173">
        <f>'29'!$C42</f>
        <v>7.0693824026913283</v>
      </c>
      <c r="M36" s="51">
        <f>AVERAGE(L36:L42)</f>
        <v>7.0693824026913301</v>
      </c>
      <c r="N36" s="173">
        <f>'30'!$C42</f>
        <v>-23.560667915050988</v>
      </c>
      <c r="O36" s="51">
        <f>AVERAGE(N36:N42)</f>
        <v>-38.560667915050992</v>
      </c>
      <c r="P36" s="173">
        <f>'31'!$C42</f>
        <v>-23.652915788386927</v>
      </c>
      <c r="Q36" s="51">
        <f>AVERAGE(P36:P42)</f>
        <v>-38.652915788386927</v>
      </c>
      <c r="R36" s="173">
        <f>'32'!$C42</f>
        <v>-23.600468580054311</v>
      </c>
      <c r="S36" s="51">
        <f>AVERAGE(R36:R42)</f>
        <v>-38.600468580054319</v>
      </c>
      <c r="T36" s="173">
        <f>'33'!$C42</f>
        <v>0.21804285858598149</v>
      </c>
      <c r="U36" s="51">
        <f>AVERAGE(T36:T42)</f>
        <v>0.21804285858598252</v>
      </c>
      <c r="V36" s="173">
        <f>'34'!$C42</f>
        <v>7.2347540834265089E-2</v>
      </c>
      <c r="W36" s="51">
        <f>AVERAGE(V36:V42)</f>
        <v>7.2347540834266102E-2</v>
      </c>
      <c r="X36" s="173">
        <f>'35'!$C42</f>
        <v>7.2347540834289958E-2</v>
      </c>
      <c r="Y36" s="51">
        <f>AVERAGE(X36:X42)</f>
        <v>7.2347540834289958E-2</v>
      </c>
      <c r="Z36" s="173">
        <f>'36'!$C42</f>
        <v>30.682497526074933</v>
      </c>
      <c r="AA36" s="51">
        <f>AVERAGE(Z36:Z42)</f>
        <v>45.682497526074933</v>
      </c>
      <c r="AB36" s="173">
        <f>'37'!$C42</f>
        <v>-7.0693824026913283</v>
      </c>
      <c r="AC36" s="51">
        <f>AVERAGE(AB36:AB42)</f>
        <v>-7.0693824026913301</v>
      </c>
      <c r="AD36" s="173">
        <f>'38'!$C42</f>
        <v>23.560667915050988</v>
      </c>
      <c r="AE36" s="51">
        <f>AVERAGE(AD36:AD42)</f>
        <v>38.560667915050992</v>
      </c>
      <c r="AF36" s="173">
        <f>'39'!$C42</f>
        <v>23.652915788386927</v>
      </c>
      <c r="AG36" s="51">
        <f>AVERAGE(AF36:AF42)</f>
        <v>38.652915788386927</v>
      </c>
      <c r="AH36" s="173">
        <f>'40'!$C42</f>
        <v>14.17063637706373</v>
      </c>
      <c r="AI36" s="51">
        <f>AVERAGE(AH36:AH42)</f>
        <v>29.170636377063733</v>
      </c>
      <c r="AJ36" s="173">
        <f>'41'!$C42</f>
        <v>56.788110988097053</v>
      </c>
      <c r="AK36" s="51">
        <f>AVERAGE(AJ36:AJ42)</f>
        <v>86.78811098809706</v>
      </c>
      <c r="AL36" s="173">
        <f>'42'!$C42</f>
        <v>23.600468580054311</v>
      </c>
      <c r="AM36" s="51">
        <f>AVERAGE(AL36:AL42)</f>
        <v>38.600468580054319</v>
      </c>
    </row>
    <row r="37" spans="2:39" x14ac:dyDescent="0.45">
      <c r="B37" s="114">
        <f>Input!C28</f>
        <v>115</v>
      </c>
      <c r="D37" s="173">
        <f>'25'!$C43</f>
        <v>-0.2180428585859957</v>
      </c>
      <c r="E37" s="50"/>
      <c r="F37" s="173">
        <f>'26'!$C43</f>
        <v>-7.2347540834272195E-2</v>
      </c>
      <c r="G37" s="50"/>
      <c r="H37" s="173">
        <f>'27'!$C43</f>
        <v>-7.2347540834289958E-2</v>
      </c>
      <c r="I37" s="50"/>
      <c r="J37" s="173">
        <f>'28'!$C43</f>
        <v>-35.682497526074933</v>
      </c>
      <c r="K37" s="50"/>
      <c r="L37" s="173">
        <f>'29'!$C43</f>
        <v>7.0693824026913283</v>
      </c>
      <c r="M37" s="50"/>
      <c r="N37" s="173">
        <f>'30'!$C43</f>
        <v>-28.560667915050988</v>
      </c>
      <c r="O37" s="50"/>
      <c r="P37" s="173">
        <f>'31'!$C43</f>
        <v>-28.652915788386927</v>
      </c>
      <c r="Q37" s="50"/>
      <c r="R37" s="173">
        <f>'32'!$C43</f>
        <v>-28.600468580054311</v>
      </c>
      <c r="S37" s="50"/>
      <c r="T37" s="173">
        <f>'33'!$C43</f>
        <v>0.21804285858598149</v>
      </c>
      <c r="U37" s="50"/>
      <c r="V37" s="173">
        <f>'34'!$C43</f>
        <v>7.2347540834265089E-2</v>
      </c>
      <c r="W37" s="50"/>
      <c r="X37" s="173">
        <f>'35'!$C43</f>
        <v>7.2347540834289958E-2</v>
      </c>
      <c r="Y37" s="50"/>
      <c r="Z37" s="173">
        <f>'36'!$C43</f>
        <v>35.682497526074933</v>
      </c>
      <c r="AA37" s="50"/>
      <c r="AB37" s="173">
        <f>'37'!$C43</f>
        <v>-7.0693824026913283</v>
      </c>
      <c r="AC37" s="50"/>
      <c r="AD37" s="173">
        <f>'38'!$C43</f>
        <v>28.560667915050988</v>
      </c>
      <c r="AE37" s="50"/>
      <c r="AF37" s="173">
        <f>'39'!$C43</f>
        <v>28.652915788386927</v>
      </c>
      <c r="AG37" s="50"/>
      <c r="AH37" s="173">
        <f>'40'!$C43</f>
        <v>19.17063637706373</v>
      </c>
      <c r="AI37" s="50"/>
      <c r="AJ37" s="173">
        <f>'41'!$C43</f>
        <v>66.78811098809706</v>
      </c>
      <c r="AK37" s="50"/>
      <c r="AL37" s="173">
        <f>'42'!$C43</f>
        <v>28.600468580054311</v>
      </c>
      <c r="AM37" s="50"/>
    </row>
    <row r="38" spans="2:39" x14ac:dyDescent="0.45">
      <c r="B38" s="114">
        <f>Input!C29</f>
        <v>120</v>
      </c>
      <c r="D38" s="173">
        <f>'25'!$C44</f>
        <v>-0.2180428585859957</v>
      </c>
      <c r="E38" s="50"/>
      <c r="F38" s="173">
        <f>'26'!$C44</f>
        <v>-7.2347540834272195E-2</v>
      </c>
      <c r="G38" s="50"/>
      <c r="H38" s="173">
        <f>'27'!$C44</f>
        <v>-7.2347540834289958E-2</v>
      </c>
      <c r="I38" s="50"/>
      <c r="J38" s="173">
        <f>'28'!$C44</f>
        <v>-40.682497526074933</v>
      </c>
      <c r="K38" s="50"/>
      <c r="L38" s="173">
        <f>'29'!$C44</f>
        <v>7.0693824026913283</v>
      </c>
      <c r="M38" s="50"/>
      <c r="N38" s="173">
        <f>'30'!$C44</f>
        <v>-33.560667915050985</v>
      </c>
      <c r="O38" s="50"/>
      <c r="P38" s="173">
        <f>'31'!$C44</f>
        <v>-33.652915788386927</v>
      </c>
      <c r="Q38" s="50"/>
      <c r="R38" s="173">
        <f>'32'!$C44</f>
        <v>-33.600468580054311</v>
      </c>
      <c r="S38" s="50"/>
      <c r="T38" s="173">
        <f>'33'!$C44</f>
        <v>0.21804285858598149</v>
      </c>
      <c r="U38" s="50"/>
      <c r="V38" s="173">
        <f>'34'!$C44</f>
        <v>7.2347540834265089E-2</v>
      </c>
      <c r="W38" s="50"/>
      <c r="X38" s="173">
        <f>'35'!$C44</f>
        <v>7.2347540834289958E-2</v>
      </c>
      <c r="Y38" s="50"/>
      <c r="Z38" s="173">
        <f>'36'!$C44</f>
        <v>40.682497526074933</v>
      </c>
      <c r="AA38" s="50"/>
      <c r="AB38" s="173">
        <f>'37'!$C44</f>
        <v>-7.0693824026913283</v>
      </c>
      <c r="AC38" s="50"/>
      <c r="AD38" s="173">
        <f>'38'!$C44</f>
        <v>33.560667915050985</v>
      </c>
      <c r="AE38" s="50"/>
      <c r="AF38" s="173">
        <f>'39'!$C44</f>
        <v>33.652915788386927</v>
      </c>
      <c r="AG38" s="50"/>
      <c r="AH38" s="173">
        <f>'40'!$C44</f>
        <v>24.17063637706373</v>
      </c>
      <c r="AI38" s="50"/>
      <c r="AJ38" s="173">
        <f>'41'!$C44</f>
        <v>76.78811098809706</v>
      </c>
      <c r="AK38" s="50"/>
      <c r="AL38" s="173">
        <f>'42'!$C44</f>
        <v>33.600468580054311</v>
      </c>
      <c r="AM38" s="50"/>
    </row>
    <row r="39" spans="2:39" x14ac:dyDescent="0.45">
      <c r="B39" s="114">
        <f>Input!C30</f>
        <v>125</v>
      </c>
      <c r="D39" s="173">
        <f>'25'!$C45</f>
        <v>-0.2180428585859957</v>
      </c>
      <c r="E39" s="50"/>
      <c r="F39" s="173">
        <f>'26'!$C45</f>
        <v>-7.2347540834272195E-2</v>
      </c>
      <c r="G39" s="50"/>
      <c r="H39" s="173">
        <f>'27'!$C45</f>
        <v>-7.2347540834289958E-2</v>
      </c>
      <c r="I39" s="50"/>
      <c r="J39" s="173">
        <f>'28'!$C45</f>
        <v>-45.682497526074933</v>
      </c>
      <c r="K39" s="50"/>
      <c r="L39" s="173">
        <f>'29'!$C45</f>
        <v>7.0693824026913283</v>
      </c>
      <c r="M39" s="50"/>
      <c r="N39" s="173">
        <f>'30'!$C45</f>
        <v>-38.560667915050985</v>
      </c>
      <c r="O39" s="50"/>
      <c r="P39" s="173">
        <f>'31'!$C45</f>
        <v>-38.652915788386927</v>
      </c>
      <c r="Q39" s="50"/>
      <c r="R39" s="173">
        <f>'32'!$C45</f>
        <v>-38.600468580054311</v>
      </c>
      <c r="S39" s="50"/>
      <c r="T39" s="173">
        <f>'33'!$C45</f>
        <v>0.21804285858598149</v>
      </c>
      <c r="U39" s="50"/>
      <c r="V39" s="173">
        <f>'34'!$C45</f>
        <v>7.2347540834265089E-2</v>
      </c>
      <c r="W39" s="50"/>
      <c r="X39" s="173">
        <f>'35'!$C45</f>
        <v>7.2347540834289958E-2</v>
      </c>
      <c r="Y39" s="50"/>
      <c r="Z39" s="173">
        <f>'36'!$C45</f>
        <v>45.682497526074933</v>
      </c>
      <c r="AA39" s="50"/>
      <c r="AB39" s="173">
        <f>'37'!$C45</f>
        <v>-7.0693824026913283</v>
      </c>
      <c r="AC39" s="50"/>
      <c r="AD39" s="173">
        <f>'38'!$C45</f>
        <v>38.560667915050985</v>
      </c>
      <c r="AE39" s="50"/>
      <c r="AF39" s="173">
        <f>'39'!$C45</f>
        <v>38.652915788386927</v>
      </c>
      <c r="AG39" s="50"/>
      <c r="AH39" s="173">
        <f>'40'!$C45</f>
        <v>29.17063637706373</v>
      </c>
      <c r="AI39" s="50"/>
      <c r="AJ39" s="173">
        <f>'41'!$C45</f>
        <v>86.78811098809706</v>
      </c>
      <c r="AK39" s="50"/>
      <c r="AL39" s="173">
        <f>'42'!$C45</f>
        <v>38.600468580054311</v>
      </c>
      <c r="AM39" s="50"/>
    </row>
    <row r="40" spans="2:39" x14ac:dyDescent="0.45">
      <c r="B40" s="114">
        <f>Input!C31</f>
        <v>130</v>
      </c>
      <c r="D40" s="173">
        <f>'25'!$C46</f>
        <v>-0.2180428585859957</v>
      </c>
      <c r="E40" s="50"/>
      <c r="F40" s="173">
        <f>'26'!$C46</f>
        <v>-7.2347540834272195E-2</v>
      </c>
      <c r="G40" s="50"/>
      <c r="H40" s="173">
        <f>'27'!$C46</f>
        <v>-7.2347540834289958E-2</v>
      </c>
      <c r="I40" s="50"/>
      <c r="J40" s="173">
        <f>'28'!$C46</f>
        <v>-50.682497526074933</v>
      </c>
      <c r="K40" s="50"/>
      <c r="L40" s="173">
        <f>'29'!$C46</f>
        <v>7.0693824026913283</v>
      </c>
      <c r="M40" s="50"/>
      <c r="N40" s="173">
        <f>'30'!$C46</f>
        <v>-43.560667915050985</v>
      </c>
      <c r="O40" s="50"/>
      <c r="P40" s="173">
        <f>'31'!$C46</f>
        <v>-43.652915788386927</v>
      </c>
      <c r="Q40" s="50"/>
      <c r="R40" s="173">
        <f>'32'!$C46</f>
        <v>-43.600468580054311</v>
      </c>
      <c r="S40" s="50"/>
      <c r="T40" s="173">
        <f>'33'!$C46</f>
        <v>0.21804285858598149</v>
      </c>
      <c r="U40" s="50"/>
      <c r="V40" s="173">
        <f>'34'!$C46</f>
        <v>7.2347540834265089E-2</v>
      </c>
      <c r="W40" s="50"/>
      <c r="X40" s="173">
        <f>'35'!$C46</f>
        <v>7.2347540834289958E-2</v>
      </c>
      <c r="Y40" s="50"/>
      <c r="Z40" s="173">
        <f>'36'!$C46</f>
        <v>50.682497526074933</v>
      </c>
      <c r="AA40" s="50"/>
      <c r="AB40" s="173">
        <f>'37'!$C46</f>
        <v>-7.0693824026913283</v>
      </c>
      <c r="AC40" s="50"/>
      <c r="AD40" s="173">
        <f>'38'!$C46</f>
        <v>43.560667915050985</v>
      </c>
      <c r="AE40" s="50"/>
      <c r="AF40" s="173">
        <f>'39'!$C46</f>
        <v>43.652915788386927</v>
      </c>
      <c r="AG40" s="50"/>
      <c r="AH40" s="173">
        <f>'40'!$C46</f>
        <v>34.17063637706373</v>
      </c>
      <c r="AI40" s="50"/>
      <c r="AJ40" s="173">
        <f>'41'!$C46</f>
        <v>96.78811098809706</v>
      </c>
      <c r="AK40" s="50"/>
      <c r="AL40" s="173">
        <f>'42'!$C46</f>
        <v>43.600468580054311</v>
      </c>
      <c r="AM40" s="50"/>
    </row>
    <row r="41" spans="2:39" x14ac:dyDescent="0.45">
      <c r="B41" s="114">
        <f>Input!C32</f>
        <v>135</v>
      </c>
      <c r="D41" s="173">
        <f>'25'!$C47</f>
        <v>-0.2180428585859957</v>
      </c>
      <c r="E41" s="50"/>
      <c r="F41" s="173">
        <f>'26'!$C47</f>
        <v>-7.2347540834272195E-2</v>
      </c>
      <c r="G41" s="50"/>
      <c r="H41" s="173">
        <f>'27'!$C47</f>
        <v>-7.2347540834289958E-2</v>
      </c>
      <c r="I41" s="50"/>
      <c r="J41" s="173">
        <f>'28'!$C47</f>
        <v>-55.682497526074933</v>
      </c>
      <c r="K41" s="50"/>
      <c r="L41" s="173">
        <f>'29'!$C47</f>
        <v>7.0693824026913283</v>
      </c>
      <c r="M41" s="50"/>
      <c r="N41" s="173">
        <f>'30'!$C47</f>
        <v>-48.560667915050985</v>
      </c>
      <c r="O41" s="50"/>
      <c r="P41" s="173">
        <f>'31'!$C47</f>
        <v>-48.652915788386927</v>
      </c>
      <c r="Q41" s="50"/>
      <c r="R41" s="173">
        <f>'32'!$C47</f>
        <v>-48.600468580054311</v>
      </c>
      <c r="S41" s="50"/>
      <c r="T41" s="173">
        <f>'33'!$C47</f>
        <v>0.21804285858598149</v>
      </c>
      <c r="U41" s="50"/>
      <c r="V41" s="173">
        <f>'34'!$C47</f>
        <v>7.2347540834265089E-2</v>
      </c>
      <c r="W41" s="50"/>
      <c r="X41" s="173">
        <f>'35'!$C47</f>
        <v>7.2347540834289958E-2</v>
      </c>
      <c r="Y41" s="50"/>
      <c r="Z41" s="173">
        <f>'36'!$C47</f>
        <v>55.682497526074933</v>
      </c>
      <c r="AA41" s="50"/>
      <c r="AB41" s="173">
        <f>'37'!$C47</f>
        <v>-7.0693824026913283</v>
      </c>
      <c r="AC41" s="50"/>
      <c r="AD41" s="173">
        <f>'38'!$C47</f>
        <v>48.560667915050985</v>
      </c>
      <c r="AE41" s="50"/>
      <c r="AF41" s="173">
        <f>'39'!$C47</f>
        <v>48.652915788386927</v>
      </c>
      <c r="AG41" s="50"/>
      <c r="AH41" s="173">
        <f>'40'!$C47</f>
        <v>39.17063637706373</v>
      </c>
      <c r="AI41" s="50"/>
      <c r="AJ41" s="173">
        <f>'41'!$C47</f>
        <v>106.78811098809706</v>
      </c>
      <c r="AK41" s="50"/>
      <c r="AL41" s="173">
        <f>'42'!$C47</f>
        <v>48.600468580054311</v>
      </c>
      <c r="AM41" s="50"/>
    </row>
    <row r="42" spans="2:39" x14ac:dyDescent="0.45">
      <c r="B42" s="114">
        <f>Input!C33</f>
        <v>140</v>
      </c>
      <c r="D42" s="217">
        <f>'25'!$C48</f>
        <v>-0.2180428585859886</v>
      </c>
      <c r="E42" s="50"/>
      <c r="F42" s="217">
        <f>'26'!$C48</f>
        <v>-7.2347540834272195E-2</v>
      </c>
      <c r="G42" s="50"/>
      <c r="H42" s="217">
        <f>'27'!$C48</f>
        <v>-7.2347540834289958E-2</v>
      </c>
      <c r="I42" s="50"/>
      <c r="J42" s="217">
        <f>'28'!$C48</f>
        <v>-60.68249752607494</v>
      </c>
      <c r="K42" s="50"/>
      <c r="L42" s="217">
        <f>'29'!$C48</f>
        <v>7.0693824026913283</v>
      </c>
      <c r="M42" s="50"/>
      <c r="N42" s="217">
        <f>'30'!$C48</f>
        <v>-53.560667915050985</v>
      </c>
      <c r="O42" s="50"/>
      <c r="P42" s="217">
        <f>'31'!$C48</f>
        <v>-53.652915788386927</v>
      </c>
      <c r="Q42" s="50"/>
      <c r="R42" s="217">
        <f>'32'!$C48</f>
        <v>-53.600468580054304</v>
      </c>
      <c r="S42" s="50"/>
      <c r="T42" s="217">
        <f>'33'!$C48</f>
        <v>0.2180428585859886</v>
      </c>
      <c r="U42" s="50"/>
      <c r="V42" s="217">
        <f>'34'!$C48</f>
        <v>7.2347540834272195E-2</v>
      </c>
      <c r="W42" s="50"/>
      <c r="X42" s="217">
        <f>'35'!$C48</f>
        <v>7.2347540834289958E-2</v>
      </c>
      <c r="Y42" s="50"/>
      <c r="Z42" s="217">
        <f>'36'!$C48</f>
        <v>60.68249752607494</v>
      </c>
      <c r="AA42" s="50"/>
      <c r="AB42" s="173">
        <f>'37'!$C48</f>
        <v>-7.0693824026913283</v>
      </c>
      <c r="AC42" s="50"/>
      <c r="AD42" s="217">
        <f>'38'!$C48</f>
        <v>53.560667915050985</v>
      </c>
      <c r="AE42" s="50"/>
      <c r="AF42" s="217">
        <f>'39'!$C48</f>
        <v>53.652915788386927</v>
      </c>
      <c r="AG42" s="50"/>
      <c r="AH42" s="217">
        <f>'40'!$C48</f>
        <v>44.17063637706373</v>
      </c>
      <c r="AI42" s="50"/>
      <c r="AJ42" s="217">
        <f>'41'!$C48</f>
        <v>116.78811098809706</v>
      </c>
      <c r="AK42" s="50"/>
      <c r="AL42" s="217">
        <f>'42'!$C48</f>
        <v>53.600468580054304</v>
      </c>
      <c r="AM42" s="50"/>
    </row>
    <row r="43" spans="2:39" x14ac:dyDescent="0.45">
      <c r="B43" s="37"/>
      <c r="C43" s="37"/>
    </row>
    <row r="44" spans="2:39" x14ac:dyDescent="0.45">
      <c r="B44" s="37"/>
      <c r="C44" s="37"/>
    </row>
    <row r="45" spans="2:39" x14ac:dyDescent="0.45">
      <c r="B45" s="37"/>
      <c r="C45" s="37"/>
    </row>
    <row r="46" spans="2:39" x14ac:dyDescent="0.45">
      <c r="B46" s="37"/>
      <c r="C46" s="37"/>
    </row>
    <row r="47" spans="2:39" x14ac:dyDescent="0.45">
      <c r="B47" s="37"/>
      <c r="C47" s="37"/>
    </row>
    <row r="48" spans="2:39" x14ac:dyDescent="0.45">
      <c r="B48" s="37"/>
      <c r="C48" s="37"/>
    </row>
    <row r="49" spans="2:3" x14ac:dyDescent="0.45">
      <c r="B49" s="37"/>
      <c r="C49" s="37"/>
    </row>
    <row r="50" spans="2:3" x14ac:dyDescent="0.45">
      <c r="B50" s="37"/>
    </row>
    <row r="51" spans="2:3" x14ac:dyDescent="0.45">
      <c r="B51" s="37"/>
    </row>
    <row r="52" spans="2:3" x14ac:dyDescent="0.45">
      <c r="B52" s="37"/>
    </row>
    <row r="53" spans="2:3" x14ac:dyDescent="0.45">
      <c r="B53" s="37"/>
    </row>
    <row r="54" spans="2:3" x14ac:dyDescent="0.45">
      <c r="B54" s="37"/>
    </row>
    <row r="55" spans="2:3" x14ac:dyDescent="0.45">
      <c r="B55" s="37"/>
    </row>
    <row r="56" spans="2:3" x14ac:dyDescent="0.45">
      <c r="B56" s="37"/>
    </row>
    <row r="57" spans="2:3" x14ac:dyDescent="0.45">
      <c r="B57" s="37"/>
    </row>
    <row r="58" spans="2:3" x14ac:dyDescent="0.45">
      <c r="B58" s="37"/>
    </row>
    <row r="59" spans="2:3" x14ac:dyDescent="0.45">
      <c r="B59" s="37"/>
    </row>
    <row r="60" spans="2:3" x14ac:dyDescent="0.45">
      <c r="B60" s="37"/>
    </row>
    <row r="61" spans="2:3" x14ac:dyDescent="0.45">
      <c r="B61" s="37"/>
    </row>
    <row r="62" spans="2:3" x14ac:dyDescent="0.45">
      <c r="B62" s="37"/>
    </row>
    <row r="63" spans="2:3" x14ac:dyDescent="0.45">
      <c r="B63" s="37"/>
    </row>
    <row r="64" spans="2:3" x14ac:dyDescent="0.45">
      <c r="B64" s="37"/>
    </row>
    <row r="65" spans="2:2" x14ac:dyDescent="0.45">
      <c r="B65" s="37"/>
    </row>
    <row r="66" spans="2:2" x14ac:dyDescent="0.45">
      <c r="B66" s="37"/>
    </row>
    <row r="67" spans="2:2" x14ac:dyDescent="0.45">
      <c r="B67" s="37"/>
    </row>
  </sheetData>
  <conditionalFormatting sqref="A43:B1048576 AN13:XFD13 A1:B1 D43:XFD1048576 E14:E42 G14:G42 I14:I42 K14:K42 M14:M42 O14:O42 Q14:Q42 S14:S42 U14:U42 W14:W42 Y14:Y42 AA14:AA42 AE14:AE42 AG14:AG42 AI14:AI42 AK14:AK42 AM14:XFD42 D11:XFD12 H10:XFD10 A11:B12 C10:E10 A2:A10 A13:A42 D1:XFD3 D9:XFD9 H4:XFD8 AC14:AC42 E4:F8">
    <cfRule type="containsBlanks" dxfId="214" priority="44">
      <formula>LEN(TRIM(A1))=0</formula>
    </cfRule>
  </conditionalFormatting>
  <conditionalFormatting sqref="B14:B42">
    <cfRule type="containsBlanks" dxfId="213" priority="43">
      <formula>LEN(TRIM(B14))=0</formula>
    </cfRule>
  </conditionalFormatting>
  <conditionalFormatting sqref="C11:C12 C43 C4:C8 C50:C1048576">
    <cfRule type="containsBlanks" dxfId="212" priority="40">
      <formula>LEN(TRIM(C4))=0</formula>
    </cfRule>
  </conditionalFormatting>
  <conditionalFormatting sqref="D13:AM13">
    <cfRule type="containsBlanks" dxfId="211" priority="41">
      <formula>LEN(TRIM(D13))=0</formula>
    </cfRule>
  </conditionalFormatting>
  <conditionalFormatting sqref="C9:C10">
    <cfRule type="containsBlanks" dxfId="210" priority="39">
      <formula>LEN(TRIM(C9))=0</formula>
    </cfRule>
  </conditionalFormatting>
  <conditionalFormatting sqref="C44:C49">
    <cfRule type="containsBlanks" dxfId="209" priority="38">
      <formula>LEN(TRIM(C44))=0</formula>
    </cfRule>
  </conditionalFormatting>
  <conditionalFormatting sqref="C13:C42">
    <cfRule type="containsBlanks" dxfId="208" priority="37">
      <formula>LEN(TRIM(C13))=0</formula>
    </cfRule>
  </conditionalFormatting>
  <conditionalFormatting sqref="C1:C3">
    <cfRule type="containsBlanks" dxfId="207" priority="36">
      <formula>LEN(TRIM(C1))=0</formula>
    </cfRule>
  </conditionalFormatting>
  <conditionalFormatting sqref="D14:D42">
    <cfRule type="containsBlanks" dxfId="206" priority="35">
      <formula>LEN(TRIM(D14))=0</formula>
    </cfRule>
  </conditionalFormatting>
  <conditionalFormatting sqref="F14:F42">
    <cfRule type="containsBlanks" dxfId="205" priority="34">
      <formula>LEN(TRIM(F14))=0</formula>
    </cfRule>
  </conditionalFormatting>
  <conditionalFormatting sqref="H14:H42">
    <cfRule type="containsBlanks" dxfId="204" priority="33">
      <formula>LEN(TRIM(H14))=0</formula>
    </cfRule>
  </conditionalFormatting>
  <conditionalFormatting sqref="J14:J42">
    <cfRule type="containsBlanks" dxfId="203" priority="32">
      <formula>LEN(TRIM(J14))=0</formula>
    </cfRule>
  </conditionalFormatting>
  <conditionalFormatting sqref="L14:L42">
    <cfRule type="containsBlanks" dxfId="202" priority="31">
      <formula>LEN(TRIM(L14))=0</formula>
    </cfRule>
  </conditionalFormatting>
  <conditionalFormatting sqref="N14:N42">
    <cfRule type="containsBlanks" dxfId="201" priority="30">
      <formula>LEN(TRIM(N14))=0</formula>
    </cfRule>
  </conditionalFormatting>
  <conditionalFormatting sqref="P14:P42">
    <cfRule type="containsBlanks" dxfId="200" priority="29">
      <formula>LEN(TRIM(P14))=0</formula>
    </cfRule>
  </conditionalFormatting>
  <conditionalFormatting sqref="R14:R42">
    <cfRule type="containsBlanks" dxfId="199" priority="28">
      <formula>LEN(TRIM(R14))=0</formula>
    </cfRule>
  </conditionalFormatting>
  <conditionalFormatting sqref="T14:T42">
    <cfRule type="containsBlanks" dxfId="198" priority="27">
      <formula>LEN(TRIM(T14))=0</formula>
    </cfRule>
  </conditionalFormatting>
  <conditionalFormatting sqref="V14:V42">
    <cfRule type="containsBlanks" dxfId="197" priority="26">
      <formula>LEN(TRIM(V14))=0</formula>
    </cfRule>
  </conditionalFormatting>
  <conditionalFormatting sqref="X14:X42">
    <cfRule type="containsBlanks" dxfId="196" priority="25">
      <formula>LEN(TRIM(X14))=0</formula>
    </cfRule>
  </conditionalFormatting>
  <conditionalFormatting sqref="Z14:Z42">
    <cfRule type="containsBlanks" dxfId="195" priority="24">
      <formula>LEN(TRIM(Z14))=0</formula>
    </cfRule>
  </conditionalFormatting>
  <conditionalFormatting sqref="AB14:AB41">
    <cfRule type="containsBlanks" dxfId="194" priority="23">
      <formula>LEN(TRIM(AB14))=0</formula>
    </cfRule>
  </conditionalFormatting>
  <conditionalFormatting sqref="AD14:AD42">
    <cfRule type="containsBlanks" dxfId="193" priority="22">
      <formula>LEN(TRIM(AD14))=0</formula>
    </cfRule>
  </conditionalFormatting>
  <conditionalFormatting sqref="AF14:AF42">
    <cfRule type="containsBlanks" dxfId="192" priority="21">
      <formula>LEN(TRIM(AF14))=0</formula>
    </cfRule>
  </conditionalFormatting>
  <conditionalFormatting sqref="AH14:AH42">
    <cfRule type="containsBlanks" dxfId="191" priority="20">
      <formula>LEN(TRIM(AH14))=0</formula>
    </cfRule>
  </conditionalFormatting>
  <conditionalFormatting sqref="AJ14:AJ42">
    <cfRule type="containsBlanks" dxfId="190" priority="19">
      <formula>LEN(TRIM(AJ14))=0</formula>
    </cfRule>
  </conditionalFormatting>
  <conditionalFormatting sqref="AL14:AL42">
    <cfRule type="containsBlanks" dxfId="189" priority="18">
      <formula>LEN(TRIM(AL14))=0</formula>
    </cfRule>
  </conditionalFormatting>
  <conditionalFormatting sqref="B3:B9">
    <cfRule type="containsBlanks" dxfId="188" priority="10">
      <formula>LEN(TRIM(B3))=0</formula>
    </cfRule>
  </conditionalFormatting>
  <conditionalFormatting sqref="B13">
    <cfRule type="containsBlanks" dxfId="187" priority="8">
      <formula>LEN(TRIM(B13))=0</formula>
    </cfRule>
  </conditionalFormatting>
  <conditionalFormatting sqref="D4:D8">
    <cfRule type="containsBlanks" dxfId="186" priority="7">
      <formula>LEN(TRIM(D4))=0</formula>
    </cfRule>
  </conditionalFormatting>
  <conditionalFormatting sqref="B2">
    <cfRule type="containsBlanks" dxfId="185" priority="5">
      <formula>LEN(TRIM(B2))=0</formula>
    </cfRule>
  </conditionalFormatting>
  <conditionalFormatting sqref="AB42">
    <cfRule type="containsBlanks" dxfId="184" priority="3">
      <formula>LEN(TRIM(AB42))=0</formula>
    </cfRule>
  </conditionalFormatting>
  <conditionalFormatting sqref="B10">
    <cfRule type="containsBlanks" dxfId="183" priority="2">
      <formula>LEN(TRIM(B10))=0</formula>
    </cfRule>
  </conditionalFormatting>
  <conditionalFormatting sqref="G4:G8">
    <cfRule type="containsBlanks" dxfId="182" priority="1">
      <formula>LEN(TRIM(G4))=0</formula>
    </cfRule>
  </conditionalFormatting>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8271B-56A2-48D8-B4E3-AFD9A8798EA9}">
  <sheetPr>
    <tabColor theme="5" tint="0.39997558519241921"/>
  </sheetPr>
  <dimension ref="B2:AN9"/>
  <sheetViews>
    <sheetView zoomScale="40" zoomScaleNormal="40" workbookViewId="0">
      <selection activeCell="AS69" sqref="AS69"/>
    </sheetView>
  </sheetViews>
  <sheetFormatPr baseColWidth="10" defaultColWidth="9.1328125" defaultRowHeight="14.25" outlineLevelCol="1" x14ac:dyDescent="0.45"/>
  <cols>
    <col min="1" max="1" width="4" style="43" customWidth="1"/>
    <col min="2" max="2" width="21.86328125" style="43" bestFit="1" customWidth="1"/>
    <col min="3" max="3" width="13.73046875" style="43" customWidth="1"/>
    <col min="4" max="4" width="2.796875" style="43" customWidth="1"/>
    <col min="5" max="5" width="13.265625" style="43" customWidth="1" outlineLevel="1"/>
    <col min="6" max="6" width="1.86328125" style="43" customWidth="1" outlineLevel="1"/>
    <col min="7" max="7" width="13.265625" style="43" customWidth="1" outlineLevel="1"/>
    <col min="8" max="8" width="1.86328125" style="43" customWidth="1" outlineLevel="1"/>
    <col min="9" max="9" width="13.265625" style="43" customWidth="1" outlineLevel="1"/>
    <col min="10" max="10" width="1.86328125" style="43" customWidth="1" outlineLevel="1"/>
    <col min="11" max="11" width="13.265625" style="43" customWidth="1" outlineLevel="1"/>
    <col min="12" max="12" width="1.86328125" style="43" customWidth="1" outlineLevel="1"/>
    <col min="13" max="13" width="13.265625" style="43" customWidth="1" outlineLevel="1"/>
    <col min="14" max="14" width="1.86328125" style="43" customWidth="1" outlineLevel="1"/>
    <col min="15" max="15" width="13.265625" style="43" customWidth="1" outlineLevel="1"/>
    <col min="16" max="16" width="1.86328125" style="43" customWidth="1" outlineLevel="1"/>
    <col min="17" max="17" width="13.265625" style="43" customWidth="1" outlineLevel="1"/>
    <col min="18" max="18" width="1.86328125" style="43" customWidth="1" outlineLevel="1"/>
    <col min="19" max="19" width="13.265625" style="43" customWidth="1" outlineLevel="1"/>
    <col min="20" max="20" width="1.86328125" style="43" customWidth="1"/>
    <col min="21" max="21" width="13.265625" style="43" customWidth="1"/>
    <col min="22" max="22" width="1.86328125" style="43" customWidth="1"/>
    <col min="23" max="23" width="13.265625" style="43" customWidth="1"/>
    <col min="24" max="24" width="1.86328125" style="43" customWidth="1"/>
    <col min="25" max="25" width="13.265625" style="43" customWidth="1"/>
    <col min="26" max="26" width="1.86328125" style="43" customWidth="1"/>
    <col min="27" max="27" width="13.265625" style="43" customWidth="1"/>
    <col min="28" max="28" width="1.86328125" style="43" customWidth="1"/>
    <col min="29" max="29" width="13.265625" style="43" customWidth="1"/>
    <col min="30" max="30" width="1.86328125" style="43" customWidth="1"/>
    <col min="31" max="31" width="13.265625" style="43" customWidth="1"/>
    <col min="32" max="32" width="1.86328125" style="43" customWidth="1"/>
    <col min="33" max="33" width="13.265625" style="43" customWidth="1"/>
    <col min="34" max="34" width="1.86328125" style="43" customWidth="1"/>
    <col min="35" max="35" width="13.265625" style="43" customWidth="1"/>
    <col min="36" max="36" width="1.86328125" style="43" customWidth="1"/>
    <col min="37" max="37" width="13.265625" style="43" customWidth="1"/>
    <col min="38" max="38" width="1.86328125" style="43" customWidth="1"/>
    <col min="39" max="39" width="13.265625" style="43" customWidth="1"/>
    <col min="40" max="40" width="1.86328125" style="43" customWidth="1"/>
    <col min="41" max="16384" width="9.1328125" style="43"/>
  </cols>
  <sheetData>
    <row r="2" spans="2:40" ht="25.5" x14ac:dyDescent="0.75">
      <c r="B2" s="174" t="s">
        <v>265</v>
      </c>
    </row>
    <row r="3" spans="2:40" ht="14.65" thickBot="1" x14ac:dyDescent="0.5"/>
    <row r="4" spans="2:40" s="45" customFormat="1" ht="45.75" customHeight="1" x14ac:dyDescent="0.45">
      <c r="B4" s="32" t="s">
        <v>163</v>
      </c>
      <c r="C4" s="32" t="s">
        <v>254</v>
      </c>
      <c r="D4" s="226"/>
      <c r="E4" s="76" t="str">
        <f>'45 Neutral '!E13</f>
        <v>Condor Options Average</v>
      </c>
      <c r="F4" s="227"/>
      <c r="G4" s="32" t="str">
        <f>'45 Neutral '!G13</f>
        <v>Long Call Butterfly Average</v>
      </c>
      <c r="H4" s="227"/>
      <c r="I4" s="32" t="str">
        <f>'45 Neutral '!I13</f>
        <v>Long Put Butterfly Average</v>
      </c>
      <c r="J4" s="227"/>
      <c r="K4" s="32" t="str">
        <f>'45 Neutral '!K13</f>
        <v>Long Call Ladder Average</v>
      </c>
      <c r="L4" s="227"/>
      <c r="M4" s="32" t="str">
        <f>'45 Neutral '!M13</f>
        <v>Long Put Ladder Average</v>
      </c>
      <c r="N4" s="227"/>
      <c r="O4" s="32" t="str">
        <f>'45 Neutral '!O13</f>
        <v>Short Strangle Average</v>
      </c>
      <c r="P4" s="227"/>
      <c r="Q4" s="32" t="str">
        <f>'45 Neutral '!Q13</f>
        <v>Short Straddle Average</v>
      </c>
      <c r="R4" s="227"/>
      <c r="S4" s="32" t="str">
        <f>'45 Neutral '!S13</f>
        <v>Short Guts Average</v>
      </c>
      <c r="T4" s="227"/>
      <c r="U4" s="32" t="str">
        <f>'45 Neutral '!U13</f>
        <v>Short Condor Strategie Average</v>
      </c>
      <c r="V4" s="227"/>
      <c r="W4" s="32" t="str">
        <f>'45 Neutral '!W13</f>
        <v>Short Call Butterfly Average</v>
      </c>
      <c r="X4" s="227"/>
      <c r="Y4" s="32" t="str">
        <f>'45 Neutral '!Y13</f>
        <v>Short Put Butterfly Average</v>
      </c>
      <c r="Z4" s="227"/>
      <c r="AA4" s="32" t="str">
        <f>'45 Neutral '!AA13</f>
        <v>Short Call Ladder Average</v>
      </c>
      <c r="AB4" s="227"/>
      <c r="AC4" s="32" t="str">
        <f>'45 Neutral '!AC13</f>
        <v>Short Put Ladder Average</v>
      </c>
      <c r="AD4" s="227"/>
      <c r="AE4" s="32" t="str">
        <f>'45 Neutral '!AE13</f>
        <v>Long Strangle Average</v>
      </c>
      <c r="AF4" s="227"/>
      <c r="AG4" s="32" t="str">
        <f>'45 Neutral '!AG13</f>
        <v>Long Straddle Average</v>
      </c>
      <c r="AH4" s="227"/>
      <c r="AI4" s="32" t="str">
        <f>'45 Neutral '!AI13</f>
        <v>Strip Average</v>
      </c>
      <c r="AJ4" s="227"/>
      <c r="AK4" s="32" t="str">
        <f>'45 Neutral '!AK13</f>
        <v>Strap Average</v>
      </c>
      <c r="AL4" s="227"/>
      <c r="AM4" s="32" t="str">
        <f>'45 Neutral '!AM13</f>
        <v>Long Guts Average</v>
      </c>
      <c r="AN4" s="228"/>
    </row>
    <row r="5" spans="2:40" x14ac:dyDescent="0.45">
      <c r="B5" s="208" t="s">
        <v>168</v>
      </c>
      <c r="C5" s="218" t="s">
        <v>169</v>
      </c>
      <c r="D5" s="224"/>
      <c r="E5" s="297">
        <f>'45 Neutral '!E14</f>
        <v>-0.21804285858598504</v>
      </c>
      <c r="F5" s="42"/>
      <c r="G5" s="297">
        <f>'45 Neutral '!G14</f>
        <v>-7.2347540834272195E-2</v>
      </c>
      <c r="H5" s="42"/>
      <c r="I5" s="297">
        <f>'45 Neutral '!I14</f>
        <v>-7.2347540834286406E-2</v>
      </c>
      <c r="J5" s="42"/>
      <c r="K5" s="114">
        <f>'45 Neutral '!K14</f>
        <v>5.3175024739250647</v>
      </c>
      <c r="L5" s="42"/>
      <c r="M5" s="203">
        <f>'45 Neutral '!M14</f>
        <v>-43.930617597308675</v>
      </c>
      <c r="N5" s="42"/>
      <c r="O5" s="297">
        <f>'45 Neutral '!O14</f>
        <v>-38.560667915050992</v>
      </c>
      <c r="P5" s="42"/>
      <c r="Q5" s="297">
        <f>'45 Neutral '!Q14</f>
        <v>-38.652915788386927</v>
      </c>
      <c r="R5" s="42"/>
      <c r="S5" s="297">
        <f>'45 Neutral '!S14</f>
        <v>-38.600468580054319</v>
      </c>
      <c r="T5" s="42"/>
      <c r="U5" s="114">
        <f>'45 Neutral '!U14</f>
        <v>0.21804285858598682</v>
      </c>
      <c r="V5" s="42"/>
      <c r="W5" s="114">
        <f>'45 Neutral '!W14</f>
        <v>7.2347540834272195E-2</v>
      </c>
      <c r="X5" s="42"/>
      <c r="Y5" s="114">
        <f>'45 Neutral '!Y14</f>
        <v>7.2347540834292998E-2</v>
      </c>
      <c r="Z5" s="42"/>
      <c r="AA5" s="297">
        <f>'45 Neutral '!AA14</f>
        <v>-5.3175024739250647</v>
      </c>
      <c r="AB5" s="42"/>
      <c r="AC5" s="114">
        <f>'45 Neutral '!AC14</f>
        <v>43.930617597308661</v>
      </c>
      <c r="AD5" s="42"/>
      <c r="AE5" s="114">
        <f>'45 Neutral '!AE14</f>
        <v>38.560667915050992</v>
      </c>
      <c r="AF5" s="42"/>
      <c r="AG5" s="114">
        <f>'45 Neutral '!AG14</f>
        <v>38.652915788386927</v>
      </c>
      <c r="AH5" s="42"/>
      <c r="AI5" s="205">
        <f>'45 Neutral '!AI14</f>
        <v>84.17063637706373</v>
      </c>
      <c r="AJ5" s="42"/>
      <c r="AK5" s="114">
        <f>'45 Neutral '!AK14</f>
        <v>31.78811098809706</v>
      </c>
      <c r="AL5" s="42"/>
      <c r="AM5" s="114">
        <f>'45 Neutral '!AM14</f>
        <v>38.600468580054319</v>
      </c>
      <c r="AN5" s="177"/>
    </row>
    <row r="6" spans="2:40" x14ac:dyDescent="0.45">
      <c r="B6" s="191" t="s">
        <v>167</v>
      </c>
      <c r="C6" s="219" t="s">
        <v>170</v>
      </c>
      <c r="D6" s="225"/>
      <c r="E6" s="297">
        <f>'45 Neutral '!E20</f>
        <v>-0.21804285858598504</v>
      </c>
      <c r="F6" s="41"/>
      <c r="G6" s="297">
        <f>'45 Neutral '!G20</f>
        <v>-7.2347540834272195E-2</v>
      </c>
      <c r="H6" s="41"/>
      <c r="I6" s="297">
        <f>'45 Neutral '!I20</f>
        <v>-7.2347540834288182E-2</v>
      </c>
      <c r="J6" s="41"/>
      <c r="K6" s="114">
        <f>'45 Neutral '!K20</f>
        <v>5.3175024739250638</v>
      </c>
      <c r="L6" s="41"/>
      <c r="M6" s="203">
        <f>'45 Neutral '!M20</f>
        <v>-16.430617597308672</v>
      </c>
      <c r="N6" s="41"/>
      <c r="O6" s="297">
        <f>'45 Neutral '!O20</f>
        <v>-11.060667915050987</v>
      </c>
      <c r="P6" s="41"/>
      <c r="Q6" s="297">
        <f>'45 Neutral '!Q20</f>
        <v>-11.152915788386933</v>
      </c>
      <c r="R6" s="41"/>
      <c r="S6" s="297">
        <f>'45 Neutral '!S20</f>
        <v>-11.100468580054311</v>
      </c>
      <c r="T6" s="41"/>
      <c r="U6" s="114">
        <f>'45 Neutral '!U20</f>
        <v>0.21804285858598682</v>
      </c>
      <c r="V6" s="41"/>
      <c r="W6" s="114">
        <f>'45 Neutral '!W20</f>
        <v>7.2347540834272195E-2</v>
      </c>
      <c r="X6" s="41"/>
      <c r="Y6" s="114">
        <f>'45 Neutral '!Y20</f>
        <v>7.2347540834289958E-2</v>
      </c>
      <c r="Z6" s="41"/>
      <c r="AA6" s="297">
        <f>'45 Neutral '!AA20</f>
        <v>-5.3175024739250638</v>
      </c>
      <c r="AB6" s="41"/>
      <c r="AC6" s="114">
        <f>'45 Neutral '!AC20</f>
        <v>16.430617597308672</v>
      </c>
      <c r="AD6" s="41"/>
      <c r="AE6" s="114">
        <f>'45 Neutral '!AE20</f>
        <v>11.060667915050987</v>
      </c>
      <c r="AF6" s="41"/>
      <c r="AG6" s="114">
        <f>'45 Neutral '!AG20</f>
        <v>11.152915788386933</v>
      </c>
      <c r="AH6" s="41"/>
      <c r="AI6" s="205">
        <f>'45 Neutral '!AI20</f>
        <v>29.17063637706374</v>
      </c>
      <c r="AJ6" s="41"/>
      <c r="AK6" s="114">
        <f>'45 Neutral '!AK20</f>
        <v>4.2881109880970598</v>
      </c>
      <c r="AL6" s="41"/>
      <c r="AM6" s="114">
        <f>'45 Neutral '!AM20</f>
        <v>11.100468580054311</v>
      </c>
      <c r="AN6" s="179"/>
    </row>
    <row r="7" spans="2:40" x14ac:dyDescent="0.45">
      <c r="B7" s="192" t="s">
        <v>166</v>
      </c>
      <c r="C7" s="220" t="s">
        <v>171</v>
      </c>
      <c r="D7" s="225"/>
      <c r="E7" s="223">
        <f>'45 Neutral '!E25</f>
        <v>6.7671427128300418E-2</v>
      </c>
      <c r="F7" s="40"/>
      <c r="G7" s="114">
        <f>'45 Neutral '!G25</f>
        <v>0.21336674488001353</v>
      </c>
      <c r="H7" s="40"/>
      <c r="I7" s="114">
        <f>'45 Neutral '!I25</f>
        <v>0.21336674487999577</v>
      </c>
      <c r="J7" s="40"/>
      <c r="K7" s="114">
        <f>'45 Neutral '!K25</f>
        <v>3.0317881882107782</v>
      </c>
      <c r="L7" s="40"/>
      <c r="M7" s="114">
        <f>'45 Neutral '!M25</f>
        <v>4.7836681169770419</v>
      </c>
      <c r="N7" s="40"/>
      <c r="O7" s="114">
        <f>'45 Neutral '!O25</f>
        <v>7.5821892278061558</v>
      </c>
      <c r="P7" s="40"/>
      <c r="Q7" s="205">
        <f>'45 Neutral '!Q25</f>
        <v>7.7756556401844961</v>
      </c>
      <c r="R7" s="40"/>
      <c r="S7" s="114">
        <f>'45 Neutral '!S25</f>
        <v>7.5423885628028318</v>
      </c>
      <c r="T7" s="40"/>
      <c r="U7" s="297">
        <f>'45 Neutral '!U25</f>
        <v>-6.767142712829928E-2</v>
      </c>
      <c r="V7" s="40"/>
      <c r="W7" s="297">
        <f>'45 Neutral '!W25</f>
        <v>-0.21336674488001353</v>
      </c>
      <c r="X7" s="40"/>
      <c r="Y7" s="297">
        <f>'45 Neutral '!Y25</f>
        <v>-0.21336674487999577</v>
      </c>
      <c r="Z7" s="40"/>
      <c r="AA7" s="297">
        <f>'45 Neutral '!AA25</f>
        <v>-3.0317881882107782</v>
      </c>
      <c r="AB7" s="40"/>
      <c r="AC7" s="297">
        <f>'45 Neutral '!AC25</f>
        <v>-4.7836681169770419</v>
      </c>
      <c r="AD7" s="40"/>
      <c r="AE7" s="297">
        <f>'45 Neutral '!AE25</f>
        <v>-7.5821892278061558</v>
      </c>
      <c r="AF7" s="40"/>
      <c r="AG7" s="297">
        <f>'45 Neutral '!AG25</f>
        <v>-7.7756556401844961</v>
      </c>
      <c r="AH7" s="40"/>
      <c r="AI7" s="203">
        <f>'45 Neutral '!AI25</f>
        <v>-12.972220765793411</v>
      </c>
      <c r="AJ7" s="40"/>
      <c r="AK7" s="297">
        <f>'45 Neutral '!AK25</f>
        <v>-10.354746154760083</v>
      </c>
      <c r="AL7" s="40"/>
      <c r="AM7" s="297">
        <f>'45 Neutral '!AM25</f>
        <v>-7.5423885628028318</v>
      </c>
      <c r="AN7" s="180"/>
    </row>
    <row r="8" spans="2:40" x14ac:dyDescent="0.45">
      <c r="B8" s="193" t="s">
        <v>165</v>
      </c>
      <c r="C8" s="221" t="s">
        <v>172</v>
      </c>
      <c r="D8" s="225"/>
      <c r="E8" s="297">
        <f>'45 Neutral '!E31</f>
        <v>-0.21804285858598918</v>
      </c>
      <c r="F8" s="39"/>
      <c r="G8" s="297">
        <f>'45 Neutral '!G31</f>
        <v>-7.2347540834272195E-2</v>
      </c>
      <c r="H8" s="39"/>
      <c r="I8" s="297">
        <f>'45 Neutral '!I31</f>
        <v>-7.2347540834289958E-2</v>
      </c>
      <c r="J8" s="39"/>
      <c r="K8" s="203">
        <f>'45 Neutral '!K31</f>
        <v>-18.182497526074936</v>
      </c>
      <c r="L8" s="39"/>
      <c r="M8" s="114">
        <f>'45 Neutral '!M31</f>
        <v>7.0693824026913292</v>
      </c>
      <c r="N8" s="39"/>
      <c r="O8" s="297">
        <f>'45 Neutral '!O31</f>
        <v>-11.060667915050987</v>
      </c>
      <c r="P8" s="39"/>
      <c r="Q8" s="297">
        <f>'45 Neutral '!Q31</f>
        <v>-11.152915788386929</v>
      </c>
      <c r="R8" s="39"/>
      <c r="S8" s="297">
        <f>'45 Neutral '!S31</f>
        <v>-11.100468580054311</v>
      </c>
      <c r="T8" s="39"/>
      <c r="U8" s="114">
        <f>'45 Neutral '!U31</f>
        <v>0.21804285858598682</v>
      </c>
      <c r="V8" s="39"/>
      <c r="W8" s="114">
        <f>'45 Neutral '!W31</f>
        <v>7.2347540834271015E-2</v>
      </c>
      <c r="X8" s="39"/>
      <c r="Y8" s="114">
        <f>'45 Neutral '!Y31</f>
        <v>7.2347540834289958E-2</v>
      </c>
      <c r="Z8" s="39"/>
      <c r="AA8" s="114">
        <f>'45 Neutral '!AA31</f>
        <v>18.182497526074936</v>
      </c>
      <c r="AB8" s="39"/>
      <c r="AC8" s="297">
        <f>'45 Neutral '!AC31</f>
        <v>-7.0693824026913292</v>
      </c>
      <c r="AD8" s="39"/>
      <c r="AE8" s="114">
        <f>'45 Neutral '!AE31</f>
        <v>11.060667915050987</v>
      </c>
      <c r="AF8" s="39"/>
      <c r="AG8" s="114">
        <f>'45 Neutral '!AG31</f>
        <v>11.152915788386929</v>
      </c>
      <c r="AH8" s="39"/>
      <c r="AI8" s="114">
        <f>'45 Neutral '!AI31</f>
        <v>1.6706363770637325</v>
      </c>
      <c r="AJ8" s="39"/>
      <c r="AK8" s="205">
        <f>'45 Neutral '!AK31</f>
        <v>31.78811098809706</v>
      </c>
      <c r="AL8" s="39"/>
      <c r="AM8" s="114">
        <f>'45 Neutral '!AM31</f>
        <v>11.100468580054311</v>
      </c>
      <c r="AN8" s="181"/>
    </row>
    <row r="9" spans="2:40" ht="14.65" thickBot="1" x14ac:dyDescent="0.5">
      <c r="B9" s="194" t="s">
        <v>164</v>
      </c>
      <c r="C9" s="222" t="s">
        <v>173</v>
      </c>
      <c r="D9" s="229"/>
      <c r="E9" s="297">
        <f>'45 Neutral '!E36</f>
        <v>-0.21804285858599468</v>
      </c>
      <c r="F9" s="197"/>
      <c r="G9" s="297">
        <f>'45 Neutral '!G36</f>
        <v>-7.2347540834272195E-2</v>
      </c>
      <c r="H9" s="197"/>
      <c r="I9" s="297">
        <f>'45 Neutral '!I36</f>
        <v>-7.2347540834289958E-2</v>
      </c>
      <c r="J9" s="197"/>
      <c r="K9" s="204">
        <f>'45 Neutral '!K36</f>
        <v>-45.682497526074933</v>
      </c>
      <c r="L9" s="197"/>
      <c r="M9" s="202">
        <f>'45 Neutral '!M36</f>
        <v>7.0693824026913301</v>
      </c>
      <c r="N9" s="197"/>
      <c r="O9" s="297">
        <f>'45 Neutral '!O36</f>
        <v>-38.560667915050992</v>
      </c>
      <c r="P9" s="197"/>
      <c r="Q9" s="297">
        <f>'45 Neutral '!Q36</f>
        <v>-38.652915788386927</v>
      </c>
      <c r="R9" s="197"/>
      <c r="S9" s="297">
        <f>'45 Neutral '!S36</f>
        <v>-38.600468580054319</v>
      </c>
      <c r="T9" s="197"/>
      <c r="U9" s="202">
        <f>'45 Neutral '!U36</f>
        <v>0.21804285858598252</v>
      </c>
      <c r="V9" s="197"/>
      <c r="W9" s="202">
        <f>'45 Neutral '!W36</f>
        <v>7.2347540834266102E-2</v>
      </c>
      <c r="X9" s="197"/>
      <c r="Y9" s="202">
        <f>'45 Neutral '!Y36</f>
        <v>7.2347540834289958E-2</v>
      </c>
      <c r="Z9" s="197"/>
      <c r="AA9" s="202">
        <f>'45 Neutral '!AA36</f>
        <v>45.682497526074933</v>
      </c>
      <c r="AB9" s="197"/>
      <c r="AC9" s="297">
        <f>'45 Neutral '!AC36</f>
        <v>-7.0693824026913301</v>
      </c>
      <c r="AD9" s="197"/>
      <c r="AE9" s="202">
        <f>'45 Neutral '!AE36</f>
        <v>38.560667915050992</v>
      </c>
      <c r="AF9" s="197"/>
      <c r="AG9" s="202">
        <f>'45 Neutral '!AG36</f>
        <v>38.652915788386927</v>
      </c>
      <c r="AH9" s="197"/>
      <c r="AI9" s="202">
        <f>'45 Neutral '!AI36</f>
        <v>29.170636377063733</v>
      </c>
      <c r="AJ9" s="197"/>
      <c r="AK9" s="206">
        <f>'45 Neutral '!AK36</f>
        <v>86.78811098809706</v>
      </c>
      <c r="AL9" s="197"/>
      <c r="AM9" s="202">
        <f>'45 Neutral '!AM36</f>
        <v>38.600468580054319</v>
      </c>
      <c r="AN9" s="199"/>
    </row>
  </sheetData>
  <conditionalFormatting sqref="U4">
    <cfRule type="containsBlanks" dxfId="181" priority="48">
      <formula>LEN(TRIM(U4))=0</formula>
    </cfRule>
  </conditionalFormatting>
  <conditionalFormatting sqref="W4">
    <cfRule type="containsBlanks" dxfId="180" priority="47">
      <formula>LEN(TRIM(W4))=0</formula>
    </cfRule>
  </conditionalFormatting>
  <conditionalFormatting sqref="Y4">
    <cfRule type="containsBlanks" dxfId="179" priority="46">
      <formula>LEN(TRIM(Y4))=0</formula>
    </cfRule>
  </conditionalFormatting>
  <conditionalFormatting sqref="AA4">
    <cfRule type="containsBlanks" dxfId="178" priority="45">
      <formula>LEN(TRIM(AA4))=0</formula>
    </cfRule>
  </conditionalFormatting>
  <conditionalFormatting sqref="AC4">
    <cfRule type="containsBlanks" dxfId="177" priority="44">
      <formula>LEN(TRIM(AC4))=0</formula>
    </cfRule>
  </conditionalFormatting>
  <conditionalFormatting sqref="AE4">
    <cfRule type="containsBlanks" dxfId="176" priority="43">
      <formula>LEN(TRIM(AE4))=0</formula>
    </cfRule>
  </conditionalFormatting>
  <conditionalFormatting sqref="AG4">
    <cfRule type="containsBlanks" dxfId="175" priority="42">
      <formula>LEN(TRIM(AG4))=0</formula>
    </cfRule>
  </conditionalFormatting>
  <conditionalFormatting sqref="AI4">
    <cfRule type="containsBlanks" dxfId="174" priority="41">
      <formula>LEN(TRIM(AI4))=0</formula>
    </cfRule>
  </conditionalFormatting>
  <conditionalFormatting sqref="AK4">
    <cfRule type="containsBlanks" dxfId="173" priority="40">
      <formula>LEN(TRIM(AK4))=0</formula>
    </cfRule>
  </conditionalFormatting>
  <conditionalFormatting sqref="AM4">
    <cfRule type="containsBlanks" dxfId="172" priority="39">
      <formula>LEN(TRIM(AM4))=0</formula>
    </cfRule>
  </conditionalFormatting>
  <conditionalFormatting sqref="E4">
    <cfRule type="containsBlanks" dxfId="171" priority="38">
      <formula>LEN(TRIM(E4))=0</formula>
    </cfRule>
  </conditionalFormatting>
  <conditionalFormatting sqref="G4">
    <cfRule type="containsBlanks" dxfId="170" priority="37">
      <formula>LEN(TRIM(G4))=0</formula>
    </cfRule>
  </conditionalFormatting>
  <conditionalFormatting sqref="I4">
    <cfRule type="containsBlanks" dxfId="169" priority="36">
      <formula>LEN(TRIM(I4))=0</formula>
    </cfRule>
  </conditionalFormatting>
  <conditionalFormatting sqref="K4">
    <cfRule type="containsBlanks" dxfId="168" priority="35">
      <formula>LEN(TRIM(K4))=0</formula>
    </cfRule>
  </conditionalFormatting>
  <conditionalFormatting sqref="M4">
    <cfRule type="containsBlanks" dxfId="167" priority="34">
      <formula>LEN(TRIM(M4))=0</formula>
    </cfRule>
  </conditionalFormatting>
  <conditionalFormatting sqref="O4">
    <cfRule type="containsBlanks" dxfId="166" priority="33">
      <formula>LEN(TRIM(O4))=0</formula>
    </cfRule>
  </conditionalFormatting>
  <conditionalFormatting sqref="Q4">
    <cfRule type="containsBlanks" dxfId="165" priority="32">
      <formula>LEN(TRIM(Q4))=0</formula>
    </cfRule>
  </conditionalFormatting>
  <conditionalFormatting sqref="S4">
    <cfRule type="containsBlanks" dxfId="164" priority="31">
      <formula>LEN(TRIM(S4))=0</formula>
    </cfRule>
  </conditionalFormatting>
  <conditionalFormatting sqref="B2">
    <cfRule type="containsBlanks" dxfId="163" priority="25">
      <formula>LEN(TRIM(B2))=0</formula>
    </cfRule>
  </conditionalFormatting>
  <conditionalFormatting sqref="B4">
    <cfRule type="containsBlanks" dxfId="162" priority="24">
      <formula>LEN(TRIM(B4))=0</formula>
    </cfRule>
  </conditionalFormatting>
  <conditionalFormatting sqref="D4">
    <cfRule type="containsBlanks" dxfId="161" priority="23">
      <formula>LEN(TRIM(D4))=0</formula>
    </cfRule>
  </conditionalFormatting>
  <conditionalFormatting sqref="C4">
    <cfRule type="containsBlanks" dxfId="160" priority="22">
      <formula>LEN(TRIM(C4))=0</formula>
    </cfRule>
  </conditionalFormatting>
  <conditionalFormatting sqref="E5:E6">
    <cfRule type="containsBlanks" dxfId="159" priority="21">
      <formula>LEN(TRIM(E5))=0</formula>
    </cfRule>
  </conditionalFormatting>
  <conditionalFormatting sqref="E8:E9">
    <cfRule type="containsBlanks" dxfId="158" priority="20">
      <formula>LEN(TRIM(E8))=0</formula>
    </cfRule>
  </conditionalFormatting>
  <conditionalFormatting sqref="G5:G6">
    <cfRule type="containsBlanks" dxfId="157" priority="19">
      <formula>LEN(TRIM(G5))=0</formula>
    </cfRule>
  </conditionalFormatting>
  <conditionalFormatting sqref="G8:G9">
    <cfRule type="containsBlanks" dxfId="156" priority="18">
      <formula>LEN(TRIM(G8))=0</formula>
    </cfRule>
  </conditionalFormatting>
  <conditionalFormatting sqref="I8:I9">
    <cfRule type="containsBlanks" dxfId="155" priority="17">
      <formula>LEN(TRIM(I8))=0</formula>
    </cfRule>
  </conditionalFormatting>
  <conditionalFormatting sqref="I5:I6">
    <cfRule type="containsBlanks" dxfId="154" priority="16">
      <formula>LEN(TRIM(I5))=0</formula>
    </cfRule>
  </conditionalFormatting>
  <conditionalFormatting sqref="O5:O6">
    <cfRule type="containsBlanks" dxfId="153" priority="15">
      <formula>LEN(TRIM(O5))=0</formula>
    </cfRule>
  </conditionalFormatting>
  <conditionalFormatting sqref="O8:O9">
    <cfRule type="containsBlanks" dxfId="152" priority="14">
      <formula>LEN(TRIM(O8))=0</formula>
    </cfRule>
  </conditionalFormatting>
  <conditionalFormatting sqref="Q5:Q6">
    <cfRule type="containsBlanks" dxfId="151" priority="13">
      <formula>LEN(TRIM(Q5))=0</formula>
    </cfRule>
  </conditionalFormatting>
  <conditionalFormatting sqref="Q8:Q9">
    <cfRule type="containsBlanks" dxfId="150" priority="12">
      <formula>LEN(TRIM(Q8))=0</formula>
    </cfRule>
  </conditionalFormatting>
  <conditionalFormatting sqref="S5:S6">
    <cfRule type="containsBlanks" dxfId="149" priority="11">
      <formula>LEN(TRIM(S5))=0</formula>
    </cfRule>
  </conditionalFormatting>
  <conditionalFormatting sqref="S8:S9">
    <cfRule type="containsBlanks" dxfId="148" priority="10">
      <formula>LEN(TRIM(S8))=0</formula>
    </cfRule>
  </conditionalFormatting>
  <conditionalFormatting sqref="U7">
    <cfRule type="containsBlanks" dxfId="147" priority="9">
      <formula>LEN(TRIM(U7))=0</formula>
    </cfRule>
  </conditionalFormatting>
  <conditionalFormatting sqref="W7">
    <cfRule type="containsBlanks" dxfId="146" priority="8">
      <formula>LEN(TRIM(W7))=0</formula>
    </cfRule>
  </conditionalFormatting>
  <conditionalFormatting sqref="Y7">
    <cfRule type="containsBlanks" dxfId="145" priority="7">
      <formula>LEN(TRIM(Y7))=0</formula>
    </cfRule>
  </conditionalFormatting>
  <conditionalFormatting sqref="AA5:AA7">
    <cfRule type="containsBlanks" dxfId="144" priority="6">
      <formula>LEN(TRIM(AA5))=0</formula>
    </cfRule>
  </conditionalFormatting>
  <conditionalFormatting sqref="AC7:AC9">
    <cfRule type="containsBlanks" dxfId="143" priority="5">
      <formula>LEN(TRIM(AC7))=0</formula>
    </cfRule>
  </conditionalFormatting>
  <conditionalFormatting sqref="AE7">
    <cfRule type="containsBlanks" dxfId="142" priority="4">
      <formula>LEN(TRIM(AE7))=0</formula>
    </cfRule>
  </conditionalFormatting>
  <conditionalFormatting sqref="AG7">
    <cfRule type="containsBlanks" dxfId="141" priority="3">
      <formula>LEN(TRIM(AG7))=0</formula>
    </cfRule>
  </conditionalFormatting>
  <conditionalFormatting sqref="AK7">
    <cfRule type="containsBlanks" dxfId="140" priority="2">
      <formula>LEN(TRIM(AK7))=0</formula>
    </cfRule>
  </conditionalFormatting>
  <conditionalFormatting sqref="AM7">
    <cfRule type="containsBlanks" dxfId="139" priority="1">
      <formula>LEN(TRIM(AM7))=0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3F91B-B988-438C-AB70-92DEE771951B}">
  <sheetPr>
    <tabColor theme="0" tint="-0.14999847407452621"/>
  </sheetPr>
  <dimension ref="B1:D50"/>
  <sheetViews>
    <sheetView zoomScale="73" zoomScaleNormal="73" workbookViewId="0">
      <selection activeCell="D20" sqref="D20"/>
    </sheetView>
  </sheetViews>
  <sheetFormatPr baseColWidth="10" defaultColWidth="9.1328125" defaultRowHeight="14.25" x14ac:dyDescent="0.45"/>
  <cols>
    <col min="1" max="1" width="3.796875" customWidth="1"/>
    <col min="2" max="2" width="37.86328125" bestFit="1" customWidth="1"/>
    <col min="3" max="3" width="12.19921875" customWidth="1"/>
  </cols>
  <sheetData>
    <row r="1" spans="2:4" s="43" customFormat="1" x14ac:dyDescent="0.45"/>
    <row r="2" spans="2:4" ht="15.4" x14ac:dyDescent="0.45">
      <c r="B2" s="1" t="s">
        <v>191</v>
      </c>
    </row>
    <row r="3" spans="2:4" ht="15.75" thickBot="1" x14ac:dyDescent="0.5">
      <c r="B3" s="1"/>
    </row>
    <row r="4" spans="2:4" ht="14.65" thickBot="1" x14ac:dyDescent="0.5">
      <c r="B4" s="11" t="s">
        <v>0</v>
      </c>
      <c r="C4" s="7"/>
    </row>
    <row r="5" spans="2:4" x14ac:dyDescent="0.45">
      <c r="B5" s="13" t="s">
        <v>2</v>
      </c>
      <c r="C5" s="298">
        <f>'Ableitung Optionspreise'!C27</f>
        <v>7.6746297338894109</v>
      </c>
      <c r="D5" s="5"/>
    </row>
    <row r="6" spans="2:4" ht="14.65" thickBot="1" x14ac:dyDescent="0.5">
      <c r="B6" s="4" t="s">
        <v>3</v>
      </c>
      <c r="C6" s="299">
        <f>Input!C43</f>
        <v>68</v>
      </c>
      <c r="D6" s="5"/>
    </row>
    <row r="7" spans="2:4" x14ac:dyDescent="0.45">
      <c r="B7" s="5"/>
      <c r="C7" s="5"/>
      <c r="D7" s="5"/>
    </row>
    <row r="18" spans="2:4" ht="14.65" thickBot="1" x14ac:dyDescent="0.5"/>
    <row r="19" spans="2:4" ht="52.9" thickBot="1" x14ac:dyDescent="0.5">
      <c r="B19" s="300" t="s">
        <v>188</v>
      </c>
      <c r="C19" s="301" t="s">
        <v>6</v>
      </c>
      <c r="D19" s="302" t="s">
        <v>5</v>
      </c>
    </row>
    <row r="20" spans="2:4" x14ac:dyDescent="0.45">
      <c r="B20" s="303">
        <f>Input!C5</f>
        <v>0</v>
      </c>
      <c r="C20" s="53">
        <f t="shared" ref="C20:C48" si="0">IF(B20&gt;$C$6,$C$6-B20+$C$5,$C$5)</f>
        <v>7.6746297338894109</v>
      </c>
      <c r="D20" s="304" t="str">
        <f>IF(B20&gt;$C$6,"ja","nein")</f>
        <v>nein</v>
      </c>
    </row>
    <row r="21" spans="2:4" x14ac:dyDescent="0.45">
      <c r="B21" s="303">
        <f>Input!C6</f>
        <v>5</v>
      </c>
      <c r="C21" s="53">
        <f t="shared" si="0"/>
        <v>7.6746297338894109</v>
      </c>
      <c r="D21" s="304" t="str">
        <f t="shared" ref="D21:D48" si="1">IF(B21&gt;$C$6,"ja","nein")</f>
        <v>nein</v>
      </c>
    </row>
    <row r="22" spans="2:4" x14ac:dyDescent="0.45">
      <c r="B22" s="303">
        <f>Input!C7</f>
        <v>10</v>
      </c>
      <c r="C22" s="53">
        <f t="shared" si="0"/>
        <v>7.6746297338894109</v>
      </c>
      <c r="D22" s="304" t="str">
        <f t="shared" si="1"/>
        <v>nein</v>
      </c>
    </row>
    <row r="23" spans="2:4" x14ac:dyDescent="0.45">
      <c r="B23" s="303">
        <f>Input!C8</f>
        <v>15</v>
      </c>
      <c r="C23" s="53">
        <f t="shared" si="0"/>
        <v>7.6746297338894109</v>
      </c>
      <c r="D23" s="304" t="str">
        <f t="shared" si="1"/>
        <v>nein</v>
      </c>
    </row>
    <row r="24" spans="2:4" x14ac:dyDescent="0.45">
      <c r="B24" s="303">
        <f>Input!C9</f>
        <v>20</v>
      </c>
      <c r="C24" s="53">
        <f t="shared" si="0"/>
        <v>7.6746297338894109</v>
      </c>
      <c r="D24" s="304" t="str">
        <f t="shared" si="1"/>
        <v>nein</v>
      </c>
    </row>
    <row r="25" spans="2:4" x14ac:dyDescent="0.45">
      <c r="B25" s="303">
        <f>Input!C10</f>
        <v>25</v>
      </c>
      <c r="C25" s="53">
        <f t="shared" si="0"/>
        <v>7.6746297338894109</v>
      </c>
      <c r="D25" s="304" t="str">
        <f t="shared" si="1"/>
        <v>nein</v>
      </c>
    </row>
    <row r="26" spans="2:4" x14ac:dyDescent="0.45">
      <c r="B26" s="303">
        <f>Input!C11</f>
        <v>30</v>
      </c>
      <c r="C26" s="53">
        <f t="shared" si="0"/>
        <v>7.6746297338894109</v>
      </c>
      <c r="D26" s="304" t="str">
        <f t="shared" si="1"/>
        <v>nein</v>
      </c>
    </row>
    <row r="27" spans="2:4" x14ac:dyDescent="0.45">
      <c r="B27" s="303">
        <f>Input!C12</f>
        <v>35</v>
      </c>
      <c r="C27" s="53">
        <f t="shared" si="0"/>
        <v>7.6746297338894109</v>
      </c>
      <c r="D27" s="304" t="str">
        <f t="shared" si="1"/>
        <v>nein</v>
      </c>
    </row>
    <row r="28" spans="2:4" x14ac:dyDescent="0.45">
      <c r="B28" s="303">
        <f>Input!C13</f>
        <v>40</v>
      </c>
      <c r="C28" s="53">
        <f t="shared" si="0"/>
        <v>7.6746297338894109</v>
      </c>
      <c r="D28" s="304" t="str">
        <f t="shared" si="1"/>
        <v>nein</v>
      </c>
    </row>
    <row r="29" spans="2:4" x14ac:dyDescent="0.45">
      <c r="B29" s="303">
        <f>Input!C14</f>
        <v>45</v>
      </c>
      <c r="C29" s="53">
        <f t="shared" si="0"/>
        <v>7.6746297338894109</v>
      </c>
      <c r="D29" s="304" t="str">
        <f t="shared" si="1"/>
        <v>nein</v>
      </c>
    </row>
    <row r="30" spans="2:4" x14ac:dyDescent="0.45">
      <c r="B30" s="303">
        <f>Input!C15</f>
        <v>50</v>
      </c>
      <c r="C30" s="53">
        <f t="shared" si="0"/>
        <v>7.6746297338894109</v>
      </c>
      <c r="D30" s="304" t="str">
        <f t="shared" si="1"/>
        <v>nein</v>
      </c>
    </row>
    <row r="31" spans="2:4" x14ac:dyDescent="0.45">
      <c r="B31" s="303">
        <f>Input!C16</f>
        <v>55</v>
      </c>
      <c r="C31" s="53">
        <f t="shared" si="0"/>
        <v>7.6746297338894109</v>
      </c>
      <c r="D31" s="304" t="str">
        <f t="shared" si="1"/>
        <v>nein</v>
      </c>
    </row>
    <row r="32" spans="2:4" x14ac:dyDescent="0.45">
      <c r="B32" s="303">
        <f>Input!C17</f>
        <v>60</v>
      </c>
      <c r="C32" s="53">
        <f t="shared" si="0"/>
        <v>7.6746297338894109</v>
      </c>
      <c r="D32" s="304" t="str">
        <f t="shared" si="1"/>
        <v>nein</v>
      </c>
    </row>
    <row r="33" spans="2:4" x14ac:dyDescent="0.45">
      <c r="B33" s="303">
        <f>Input!C18</f>
        <v>65</v>
      </c>
      <c r="C33" s="53">
        <f t="shared" si="0"/>
        <v>7.6746297338894109</v>
      </c>
      <c r="D33" s="304" t="str">
        <f t="shared" si="1"/>
        <v>nein</v>
      </c>
    </row>
    <row r="34" spans="2:4" x14ac:dyDescent="0.45">
      <c r="B34" s="303">
        <f>Input!C19</f>
        <v>70</v>
      </c>
      <c r="C34" s="53">
        <f t="shared" si="0"/>
        <v>5.6746297338894109</v>
      </c>
      <c r="D34" s="304" t="str">
        <f t="shared" si="1"/>
        <v>ja</v>
      </c>
    </row>
    <row r="35" spans="2:4" x14ac:dyDescent="0.45">
      <c r="B35" s="303">
        <f>Input!C20</f>
        <v>75</v>
      </c>
      <c r="C35" s="53">
        <f t="shared" si="0"/>
        <v>0.67462973388941094</v>
      </c>
      <c r="D35" s="304" t="str">
        <f t="shared" si="1"/>
        <v>ja</v>
      </c>
    </row>
    <row r="36" spans="2:4" x14ac:dyDescent="0.45">
      <c r="B36" s="303">
        <f>Input!C21</f>
        <v>80</v>
      </c>
      <c r="C36" s="53">
        <f t="shared" si="0"/>
        <v>-4.3253702661105891</v>
      </c>
      <c r="D36" s="304" t="str">
        <f t="shared" si="1"/>
        <v>ja</v>
      </c>
    </row>
    <row r="37" spans="2:4" x14ac:dyDescent="0.45">
      <c r="B37" s="303">
        <f>Input!C22</f>
        <v>85</v>
      </c>
      <c r="C37" s="53">
        <f t="shared" si="0"/>
        <v>-9.3253702661105891</v>
      </c>
      <c r="D37" s="304" t="str">
        <f t="shared" si="1"/>
        <v>ja</v>
      </c>
    </row>
    <row r="38" spans="2:4" x14ac:dyDescent="0.45">
      <c r="B38" s="303">
        <f>Input!C23</f>
        <v>90</v>
      </c>
      <c r="C38" s="53">
        <f t="shared" si="0"/>
        <v>-14.325370266110589</v>
      </c>
      <c r="D38" s="304" t="str">
        <f t="shared" si="1"/>
        <v>ja</v>
      </c>
    </row>
    <row r="39" spans="2:4" x14ac:dyDescent="0.45">
      <c r="B39" s="303">
        <f>Input!C24</f>
        <v>95</v>
      </c>
      <c r="C39" s="53">
        <f t="shared" si="0"/>
        <v>-19.325370266110589</v>
      </c>
      <c r="D39" s="304" t="str">
        <f t="shared" si="1"/>
        <v>ja</v>
      </c>
    </row>
    <row r="40" spans="2:4" x14ac:dyDescent="0.45">
      <c r="B40" s="303">
        <f>Input!C25</f>
        <v>100</v>
      </c>
      <c r="C40" s="53">
        <f t="shared" si="0"/>
        <v>-24.325370266110589</v>
      </c>
      <c r="D40" s="304" t="str">
        <f t="shared" si="1"/>
        <v>ja</v>
      </c>
    </row>
    <row r="41" spans="2:4" x14ac:dyDescent="0.45">
      <c r="B41" s="303">
        <f>Input!C26</f>
        <v>105</v>
      </c>
      <c r="C41" s="53">
        <f t="shared" si="0"/>
        <v>-29.325370266110589</v>
      </c>
      <c r="D41" s="304" t="str">
        <f t="shared" si="1"/>
        <v>ja</v>
      </c>
    </row>
    <row r="42" spans="2:4" x14ac:dyDescent="0.45">
      <c r="B42" s="303">
        <f>Input!C27</f>
        <v>110</v>
      </c>
      <c r="C42" s="53">
        <f t="shared" si="0"/>
        <v>-34.325370266110589</v>
      </c>
      <c r="D42" s="304" t="str">
        <f t="shared" si="1"/>
        <v>ja</v>
      </c>
    </row>
    <row r="43" spans="2:4" x14ac:dyDescent="0.45">
      <c r="B43" s="303">
        <f>Input!C28</f>
        <v>115</v>
      </c>
      <c r="C43" s="53">
        <f t="shared" si="0"/>
        <v>-39.325370266110589</v>
      </c>
      <c r="D43" s="304" t="str">
        <f t="shared" si="1"/>
        <v>ja</v>
      </c>
    </row>
    <row r="44" spans="2:4" x14ac:dyDescent="0.45">
      <c r="B44" s="303">
        <f>Input!C29</f>
        <v>120</v>
      </c>
      <c r="C44" s="53">
        <f t="shared" si="0"/>
        <v>-44.325370266110589</v>
      </c>
      <c r="D44" s="304" t="str">
        <f t="shared" si="1"/>
        <v>ja</v>
      </c>
    </row>
    <row r="45" spans="2:4" x14ac:dyDescent="0.45">
      <c r="B45" s="303">
        <f>Input!C30</f>
        <v>125</v>
      </c>
      <c r="C45" s="53">
        <f t="shared" si="0"/>
        <v>-49.325370266110589</v>
      </c>
      <c r="D45" s="304" t="str">
        <f t="shared" si="1"/>
        <v>ja</v>
      </c>
    </row>
    <row r="46" spans="2:4" x14ac:dyDescent="0.45">
      <c r="B46" s="303">
        <f>Input!C31</f>
        <v>130</v>
      </c>
      <c r="C46" s="53">
        <f t="shared" si="0"/>
        <v>-54.325370266110589</v>
      </c>
      <c r="D46" s="304" t="str">
        <f t="shared" si="1"/>
        <v>ja</v>
      </c>
    </row>
    <row r="47" spans="2:4" x14ac:dyDescent="0.45">
      <c r="B47" s="303">
        <f>Input!C32</f>
        <v>135</v>
      </c>
      <c r="C47" s="53">
        <f t="shared" si="0"/>
        <v>-59.325370266110589</v>
      </c>
      <c r="D47" s="304" t="str">
        <f t="shared" si="1"/>
        <v>ja</v>
      </c>
    </row>
    <row r="48" spans="2:4" ht="14.65" thickBot="1" x14ac:dyDescent="0.5">
      <c r="B48" s="305">
        <f>Input!C33</f>
        <v>140</v>
      </c>
      <c r="C48" s="306">
        <f t="shared" si="0"/>
        <v>-64.325370266110582</v>
      </c>
      <c r="D48" s="307" t="str">
        <f t="shared" si="1"/>
        <v>ja</v>
      </c>
    </row>
    <row r="50" spans="2:3" x14ac:dyDescent="0.45">
      <c r="B50" s="296" t="s">
        <v>262</v>
      </c>
      <c r="C50" s="223">
        <f>C5</f>
        <v>7.6746297338894109</v>
      </c>
    </row>
  </sheetData>
  <conditionalFormatting sqref="A3:XFD3 A7:XFD7 A49:XFD49 A4:A6 D4:XFD6 A2 C2:XFD2 A8:A37 A38:D48 F8:XFD48 A51:XFD1048576 A50 D50:XFD50 C19:D48">
    <cfRule type="containsBlanks" dxfId="515" priority="16">
      <formula>LEN(TRIM(A2))=0</formula>
    </cfRule>
  </conditionalFormatting>
  <conditionalFormatting sqref="B4:B6">
    <cfRule type="containsBlanks" dxfId="514" priority="14">
      <formula>LEN(TRIM(B4))=0</formula>
    </cfRule>
  </conditionalFormatting>
  <conditionalFormatting sqref="B20:B48">
    <cfRule type="containsBlanks" dxfId="513" priority="9">
      <formula>LEN(TRIM(B20))=0</formula>
    </cfRule>
  </conditionalFormatting>
  <conditionalFormatting sqref="B2">
    <cfRule type="containsBlanks" dxfId="512" priority="8">
      <formula>LEN(TRIM(B2))=0</formula>
    </cfRule>
  </conditionalFormatting>
  <conditionalFormatting sqref="B19">
    <cfRule type="containsBlanks" dxfId="511" priority="10">
      <formula>LEN(TRIM(B19))=0</formula>
    </cfRule>
  </conditionalFormatting>
  <conditionalFormatting sqref="B8:E18">
    <cfRule type="containsBlanks" dxfId="510" priority="7">
      <formula>LEN(TRIM(B8))=0</formula>
    </cfRule>
  </conditionalFormatting>
  <conditionalFormatting sqref="E19:E48">
    <cfRule type="containsBlanks" dxfId="509" priority="6">
      <formula>LEN(TRIM(E19))=0</formula>
    </cfRule>
  </conditionalFormatting>
  <conditionalFormatting sqref="C50">
    <cfRule type="containsBlanks" dxfId="508" priority="4">
      <formula>LEN(TRIM(C50))=0</formula>
    </cfRule>
  </conditionalFormatting>
  <conditionalFormatting sqref="B50">
    <cfRule type="containsBlanks" dxfId="507" priority="2">
      <formula>LEN(TRIM(B50))=0</formula>
    </cfRule>
  </conditionalFormatting>
  <conditionalFormatting sqref="C5:C6">
    <cfRule type="containsBlanks" dxfId="506" priority="1">
      <formula>LEN(TRIM(C5))=0</formula>
    </cfRule>
  </conditionalFormatting>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9AFA4-BA26-4DC9-9976-816C80661324}">
  <dimension ref="B2:AP47"/>
  <sheetViews>
    <sheetView showGridLines="0" zoomScaleNormal="100" workbookViewId="0">
      <selection activeCell="I24" sqref="I24"/>
    </sheetView>
  </sheetViews>
  <sheetFormatPr baseColWidth="10" defaultRowHeight="14.25" outlineLevelRow="1" x14ac:dyDescent="0.45"/>
  <cols>
    <col min="2" max="2" width="15.46484375" customWidth="1"/>
    <col min="3" max="3" width="13.06640625" customWidth="1"/>
    <col min="4" max="4" width="1.796875" customWidth="1"/>
    <col min="5" max="5" width="11.73046875" bestFit="1" customWidth="1"/>
    <col min="6" max="6" width="11.1328125" bestFit="1" customWidth="1"/>
    <col min="7" max="7" width="11.73046875" bestFit="1" customWidth="1"/>
    <col min="8" max="9" width="11.1328125" bestFit="1" customWidth="1"/>
    <col min="10" max="10" width="11.73046875" bestFit="1" customWidth="1"/>
    <col min="11" max="13" width="10.73046875" bestFit="1" customWidth="1"/>
    <col min="14" max="14" width="12.06640625" customWidth="1"/>
    <col min="15" max="15" width="11.1328125" bestFit="1" customWidth="1"/>
    <col min="16" max="16" width="12.1328125" customWidth="1"/>
    <col min="17" max="18" width="10.73046875" bestFit="1" customWidth="1"/>
    <col min="19" max="19" width="11.73046875" bestFit="1" customWidth="1"/>
    <col min="20" max="22" width="10.73046875" bestFit="1" customWidth="1"/>
    <col min="23" max="27" width="11.1328125" bestFit="1" customWidth="1"/>
    <col min="28" max="30" width="10.73046875" bestFit="1" customWidth="1"/>
    <col min="31" max="35" width="11.73046875" bestFit="1" customWidth="1"/>
    <col min="36" max="36" width="12.73046875" bestFit="1" customWidth="1"/>
    <col min="37" max="37" width="11.73046875" bestFit="1" customWidth="1"/>
    <col min="38" max="38" width="3.53125" customWidth="1"/>
    <col min="40" max="40" width="3" customWidth="1"/>
    <col min="41" max="41" width="12.3984375" customWidth="1"/>
    <col min="42" max="42" width="2.53125" customWidth="1"/>
  </cols>
  <sheetData>
    <row r="2" spans="2:42" ht="25.5" x14ac:dyDescent="0.75">
      <c r="B2" s="174" t="s">
        <v>253</v>
      </c>
    </row>
    <row r="3" spans="2:42" ht="15" customHeight="1" x14ac:dyDescent="0.75">
      <c r="B3" s="174"/>
    </row>
    <row r="4" spans="2:42" ht="18.399999999999999" customHeight="1" x14ac:dyDescent="0.55000000000000004">
      <c r="B4" s="72" t="s">
        <v>282</v>
      </c>
    </row>
    <row r="5" spans="2:42" ht="14.65" thickBot="1" x14ac:dyDescent="0.5"/>
    <row r="6" spans="2:42" ht="52.9" thickBot="1" x14ac:dyDescent="0.5">
      <c r="B6" s="32" t="s">
        <v>163</v>
      </c>
      <c r="C6" s="32" t="s">
        <v>254</v>
      </c>
      <c r="D6" s="210"/>
      <c r="E6" s="76" t="str">
        <f>'43 Grund, Bullish und Bearish'!E13</f>
        <v>Long Call Average</v>
      </c>
      <c r="F6" s="32" t="str">
        <f>'43 Grund, Bullish und Bearish'!G13</f>
        <v>Short Call Average</v>
      </c>
      <c r="G6" s="76" t="str">
        <f>'43 Grund, Bullish und Bearish'!I13</f>
        <v>Long Put Average</v>
      </c>
      <c r="H6" s="32" t="str">
        <f>'43 Grund, Bullish und Bearish'!K13</f>
        <v>Short Put Average</v>
      </c>
      <c r="I6" s="32" t="str">
        <f>'43 Grund, Bullish und Bearish'!M13</f>
        <v>Covered Call OTM Average</v>
      </c>
      <c r="J6" s="32" t="str">
        <f>'43 Grund, Bullish und Bearish'!O13</f>
        <v>Protective Put Average</v>
      </c>
      <c r="K6" s="32" t="str">
        <f>'43 Grund, Bullish und Bearish'!Q13</f>
        <v>Collar Strategy Average</v>
      </c>
      <c r="L6" s="32" t="str">
        <f>'43 Grund, Bullish und Bearish'!S13</f>
        <v>Bull Call Spread Average</v>
      </c>
      <c r="M6" s="32" t="str">
        <f>'43 Grund, Bullish und Bearish'!U13</f>
        <v>Bull Put Spread Average</v>
      </c>
      <c r="N6" s="32" t="str">
        <f>'43 Grund, Bullish und Bearish'!W13</f>
        <v>Call Backspread Average</v>
      </c>
      <c r="O6" s="32" t="str">
        <f>'43 Grund, Bullish und Bearish'!Y13</f>
        <v>Covered Put Average</v>
      </c>
      <c r="P6" s="32" t="str">
        <f>'43 Grund, Bullish und Bearish'!AA13</f>
        <v>Put Backspread Average</v>
      </c>
      <c r="Q6" s="190" t="str">
        <f>'43 Grund, Bullish und Bearish'!AC13</f>
        <v>Bear Put Spread Average</v>
      </c>
      <c r="R6" s="32" t="str">
        <f>'43 Grund, Bullish und Bearish'!AE13</f>
        <v>Bear Call Spread Average</v>
      </c>
      <c r="S6" s="32" t="str">
        <f>'43 Grund, Bullish und Bearish'!AG13</f>
        <v>Protective Call Average</v>
      </c>
      <c r="T6" s="76" t="str">
        <f>'46 Überblick'!E4</f>
        <v>Condor Options Average</v>
      </c>
      <c r="U6" s="76" t="str">
        <f>'46 Überblick'!G4</f>
        <v>Long Call Butterfly Average</v>
      </c>
      <c r="V6" s="76" t="str">
        <f>'46 Überblick'!I4</f>
        <v>Long Put Butterfly Average</v>
      </c>
      <c r="W6" s="76" t="str">
        <f>'46 Überblick'!K4</f>
        <v>Long Call Ladder Average</v>
      </c>
      <c r="X6" s="76" t="str">
        <f>'46 Überblick'!M4</f>
        <v>Long Put Ladder Average</v>
      </c>
      <c r="Y6" s="76" t="str">
        <f>'46 Überblick'!O4</f>
        <v>Short Strangle Average</v>
      </c>
      <c r="Z6" s="76" t="str">
        <f>'46 Überblick'!Q4</f>
        <v>Short Straddle Average</v>
      </c>
      <c r="AA6" s="76" t="str">
        <f>'46 Überblick'!S4</f>
        <v>Short Guts Average</v>
      </c>
      <c r="AB6" s="76" t="str">
        <f>'46 Überblick'!U4</f>
        <v>Short Condor Strategie Average</v>
      </c>
      <c r="AC6" s="76" t="str">
        <f>'46 Überblick'!W4</f>
        <v>Short Call Butterfly Average</v>
      </c>
      <c r="AD6" s="76" t="str">
        <f>'46 Überblick'!Y4</f>
        <v>Short Put Butterfly Average</v>
      </c>
      <c r="AE6" s="76" t="str">
        <f>'46 Überblick'!AA4</f>
        <v>Short Call Ladder Average</v>
      </c>
      <c r="AF6" s="76" t="str">
        <f>'46 Überblick'!AC4</f>
        <v>Short Put Ladder Average</v>
      </c>
      <c r="AG6" s="76" t="str">
        <f>'46 Überblick'!AE4</f>
        <v>Long Strangle Average</v>
      </c>
      <c r="AH6" s="76" t="str">
        <f>'46 Überblick'!AG4</f>
        <v>Long Straddle Average</v>
      </c>
      <c r="AI6" s="76" t="str">
        <f>'46 Überblick'!AI4</f>
        <v>Strip Average</v>
      </c>
      <c r="AJ6" s="76" t="str">
        <f>'46 Überblick'!AK4</f>
        <v>Strap Average</v>
      </c>
      <c r="AK6" s="33" t="str">
        <f>'46 Überblick'!AM4</f>
        <v>Long Guts Average</v>
      </c>
      <c r="AL6" s="241"/>
    </row>
    <row r="7" spans="2:42" x14ac:dyDescent="0.45">
      <c r="B7" s="208" t="s">
        <v>168</v>
      </c>
      <c r="C7" s="209" t="s">
        <v>169</v>
      </c>
      <c r="D7" s="63"/>
      <c r="E7" s="322">
        <f>'44 Überblick'!E5</f>
        <v>-7.6746297338894109</v>
      </c>
      <c r="F7" s="323">
        <f>'44 Überblick'!G5</f>
        <v>7.6746297338894109</v>
      </c>
      <c r="G7" s="323">
        <f>'44 Überblick'!I5</f>
        <v>46.275098313943722</v>
      </c>
      <c r="H7" s="211">
        <f>'44 Überblick'!K5</f>
        <v>-46.275098313943722</v>
      </c>
      <c r="I7" s="211">
        <f>'44 Überblick'!M5</f>
        <v>-48.872672592475396</v>
      </c>
      <c r="J7" s="211">
        <f>'44 Überblick'!O5</f>
        <v>-9.4822794113231996</v>
      </c>
      <c r="K7" s="211">
        <f>'44 Überblick'!Q5</f>
        <v>-4.1846772698998072</v>
      </c>
      <c r="L7" s="211">
        <f>'44 Überblick'!S5</f>
        <v>-1.5473023263648074</v>
      </c>
      <c r="M7" s="211">
        <f>'44 Überblick'!U5</f>
        <v>-1.5871029913681336</v>
      </c>
      <c r="N7" s="211">
        <f>'44 Überblick'!W5</f>
        <v>-4.5800250811597962</v>
      </c>
      <c r="O7" s="323">
        <f>'44 Überblick'!Y5</f>
        <v>9.4822794113231996</v>
      </c>
      <c r="P7" s="323">
        <f>'44 Überblick'!AA5</f>
        <v>43.100892331207447</v>
      </c>
      <c r="Q7" s="323">
        <f>'44 Überblick'!AC5</f>
        <v>1.5871029913681336</v>
      </c>
      <c r="R7" s="323">
        <f>'44 Überblick'!AE5</f>
        <v>1.5473023263648074</v>
      </c>
      <c r="S7" s="323">
        <f>'44 Überblick'!AG5</f>
        <v>48.135195199710111</v>
      </c>
      <c r="T7" s="211">
        <f>'46 Überblick'!E5</f>
        <v>-0.21804285858598504</v>
      </c>
      <c r="U7" s="211">
        <f>'46 Überblick'!G5</f>
        <v>-7.2347540834272195E-2</v>
      </c>
      <c r="V7" s="211">
        <f>'46 Überblick'!I5</f>
        <v>-7.2347540834286406E-2</v>
      </c>
      <c r="W7" s="324">
        <f>'46 Überblick'!K5</f>
        <v>5.3175024739250647</v>
      </c>
      <c r="X7" s="211">
        <f>'46 Überblick'!M5</f>
        <v>-43.930617597308675</v>
      </c>
      <c r="Y7" s="211">
        <f>'46 Überblick'!O5</f>
        <v>-38.560667915050992</v>
      </c>
      <c r="Z7" s="211">
        <f>'46 Überblick'!Q5</f>
        <v>-38.652915788386927</v>
      </c>
      <c r="AA7" s="211">
        <f>'46 Überblick'!S5</f>
        <v>-38.600468580054319</v>
      </c>
      <c r="AB7" s="324">
        <f>'46 Überblick'!U5</f>
        <v>0.21804285858598682</v>
      </c>
      <c r="AC7" s="324">
        <f>'46 Überblick'!W5</f>
        <v>7.2347540834272195E-2</v>
      </c>
      <c r="AD7" s="324">
        <f>'46 Überblick'!Y5</f>
        <v>7.2347540834292998E-2</v>
      </c>
      <c r="AE7" s="211">
        <f>'46 Überblick'!AA5</f>
        <v>-5.3175024739250647</v>
      </c>
      <c r="AF7" s="324">
        <f>'46 Überblick'!AC5</f>
        <v>43.930617597308661</v>
      </c>
      <c r="AG7" s="324">
        <f>'46 Überblick'!AE5</f>
        <v>38.560667915050992</v>
      </c>
      <c r="AH7" s="324">
        <f>'46 Überblick'!AG5</f>
        <v>38.652915788386927</v>
      </c>
      <c r="AI7" s="324">
        <f>'46 Überblick'!AI5</f>
        <v>84.17063637706373</v>
      </c>
      <c r="AJ7" s="324">
        <f>'46 Überblick'!AK5</f>
        <v>31.78811098809706</v>
      </c>
      <c r="AK7" s="325">
        <f>'46 Überblick'!AM5</f>
        <v>38.600468580054319</v>
      </c>
    </row>
    <row r="8" spans="2:42" x14ac:dyDescent="0.45">
      <c r="B8" s="191" t="s">
        <v>167</v>
      </c>
      <c r="C8" s="82" t="s">
        <v>170</v>
      </c>
      <c r="D8" s="63"/>
      <c r="E8" s="320">
        <f>'44 Überblick'!E6</f>
        <v>-7.6746297338894109</v>
      </c>
      <c r="F8" s="232">
        <f>'44 Überblick'!G6</f>
        <v>7.6746297338894109</v>
      </c>
      <c r="G8" s="232">
        <f>'44 Überblick'!I6</f>
        <v>18.775098313943719</v>
      </c>
      <c r="H8" s="121">
        <f>'44 Überblick'!K6</f>
        <v>-18.775098313943719</v>
      </c>
      <c r="I8" s="121">
        <f>'44 Überblick'!M6</f>
        <v>-21.372672592475396</v>
      </c>
      <c r="J8" s="121">
        <f>'44 Überblick'!O6</f>
        <v>-9.4822794113231978</v>
      </c>
      <c r="K8" s="121">
        <f>'44 Überblick'!Q6</f>
        <v>-4.1846772698998045</v>
      </c>
      <c r="L8" s="121">
        <f>'44 Überblick'!S6</f>
        <v>-1.5473023263648074</v>
      </c>
      <c r="M8" s="121">
        <f>'44 Überblick'!U6</f>
        <v>-1.5871029913681305</v>
      </c>
      <c r="N8" s="121">
        <f>'44 Überblick'!W6</f>
        <v>-4.5800250811597962</v>
      </c>
      <c r="O8" s="232">
        <f>'44 Überblick'!Y6</f>
        <v>9.4822794113231978</v>
      </c>
      <c r="P8" s="232">
        <f>'44 Überblick'!AA6</f>
        <v>15.600892331207461</v>
      </c>
      <c r="Q8" s="232">
        <f>'44 Überblick'!AC6</f>
        <v>1.5871029913681305</v>
      </c>
      <c r="R8" s="232">
        <f>'44 Überblick'!AE6</f>
        <v>1.5473023263648074</v>
      </c>
      <c r="S8" s="232">
        <f>'44 Überblick'!AG6</f>
        <v>20.635195199710125</v>
      </c>
      <c r="T8" s="121">
        <f>'46 Überblick'!E6</f>
        <v>-0.21804285858598504</v>
      </c>
      <c r="U8" s="121">
        <f>'46 Überblick'!G6</f>
        <v>-7.2347540834272195E-2</v>
      </c>
      <c r="V8" s="121">
        <f>'46 Überblick'!I6</f>
        <v>-7.2347540834288182E-2</v>
      </c>
      <c r="W8" s="321">
        <f>'46 Überblick'!K6</f>
        <v>5.3175024739250638</v>
      </c>
      <c r="X8" s="121">
        <f>'46 Überblick'!M6</f>
        <v>-16.430617597308672</v>
      </c>
      <c r="Y8" s="121">
        <f>'46 Überblick'!O6</f>
        <v>-11.060667915050987</v>
      </c>
      <c r="Z8" s="121">
        <f>'46 Überblick'!Q6</f>
        <v>-11.152915788386933</v>
      </c>
      <c r="AA8" s="121">
        <f>'46 Überblick'!S6</f>
        <v>-11.100468580054311</v>
      </c>
      <c r="AB8" s="321">
        <f>'46 Überblick'!U6</f>
        <v>0.21804285858598682</v>
      </c>
      <c r="AC8" s="321">
        <f>'46 Überblick'!W6</f>
        <v>7.2347540834272195E-2</v>
      </c>
      <c r="AD8" s="321">
        <f>'46 Überblick'!Y6</f>
        <v>7.2347540834289958E-2</v>
      </c>
      <c r="AE8" s="121">
        <f>'46 Überblick'!AA6</f>
        <v>-5.3175024739250638</v>
      </c>
      <c r="AF8" s="321">
        <f>'46 Überblick'!AC6</f>
        <v>16.430617597308672</v>
      </c>
      <c r="AG8" s="321">
        <f>'46 Überblick'!AE6</f>
        <v>11.060667915050987</v>
      </c>
      <c r="AH8" s="321">
        <f>'46 Überblick'!AG6</f>
        <v>11.152915788386933</v>
      </c>
      <c r="AI8" s="321">
        <f>'46 Überblick'!AI6</f>
        <v>29.17063637706374</v>
      </c>
      <c r="AJ8" s="321">
        <f>'46 Überblick'!AK6</f>
        <v>4.2881109880970598</v>
      </c>
      <c r="AK8" s="326">
        <f>'46 Überblick'!AM6</f>
        <v>11.100468580054311</v>
      </c>
    </row>
    <row r="9" spans="2:42" x14ac:dyDescent="0.45">
      <c r="B9" s="192" t="s">
        <v>166</v>
      </c>
      <c r="C9" s="83" t="s">
        <v>171</v>
      </c>
      <c r="D9" s="63"/>
      <c r="E9" s="320">
        <f>'44 Überblick'!E7</f>
        <v>-2.2460583053179826</v>
      </c>
      <c r="F9" s="232">
        <f>'44 Überblick'!G7</f>
        <v>2.2460583053179826</v>
      </c>
      <c r="G9" s="121">
        <f>'44 Überblick'!I7</f>
        <v>-5.2963302574848488</v>
      </c>
      <c r="H9" s="232">
        <f>'44 Überblick'!K7</f>
        <v>5.2963302574848488</v>
      </c>
      <c r="I9" s="232">
        <f>'44 Überblick'!M7</f>
        <v>2.6987559789531752</v>
      </c>
      <c r="J9" s="121">
        <f>'44 Überblick'!O7</f>
        <v>-5.1965651256089123</v>
      </c>
      <c r="K9" s="121">
        <f>'44 Überblick'!Q7</f>
        <v>-2.1846772698998045</v>
      </c>
      <c r="L9" s="232">
        <f>'44 Überblick'!S7</f>
        <v>0.45269767363519264</v>
      </c>
      <c r="M9" s="232">
        <f>'44 Überblick'!U7</f>
        <v>0.41289700863186951</v>
      </c>
      <c r="N9" s="121">
        <f>'44 Überblick'!W7</f>
        <v>-3.1514536525883678</v>
      </c>
      <c r="O9" s="232">
        <f>'44 Überblick'!Y7</f>
        <v>5.1965651256089123</v>
      </c>
      <c r="P9" s="121">
        <f>'44 Überblick'!AA7</f>
        <v>-4.4705362402211097</v>
      </c>
      <c r="Q9" s="121">
        <f>'44 Überblick'!AC7</f>
        <v>-0.41289700863186951</v>
      </c>
      <c r="R9" s="121">
        <f>'44 Überblick'!AE7</f>
        <v>-0.45269767363519264</v>
      </c>
      <c r="S9" s="121">
        <f>'44 Überblick'!AG7</f>
        <v>-2.5790905145755856</v>
      </c>
      <c r="T9" s="321">
        <f>'46 Überblick'!E7</f>
        <v>6.7671427128300418E-2</v>
      </c>
      <c r="U9" s="321">
        <f>'46 Überblick'!G7</f>
        <v>0.21336674488001353</v>
      </c>
      <c r="V9" s="321">
        <f>'46 Überblick'!I7</f>
        <v>0.21336674487999577</v>
      </c>
      <c r="W9" s="321">
        <f>'46 Überblick'!K7</f>
        <v>3.0317881882107782</v>
      </c>
      <c r="X9" s="321">
        <f>'46 Überblick'!M7</f>
        <v>4.7836681169770419</v>
      </c>
      <c r="Y9" s="321">
        <f>'46 Überblick'!O7</f>
        <v>7.5821892278061558</v>
      </c>
      <c r="Z9" s="321">
        <f>'46 Überblick'!Q7</f>
        <v>7.7756556401844961</v>
      </c>
      <c r="AA9" s="321">
        <f>'46 Überblick'!S7</f>
        <v>7.5423885628028318</v>
      </c>
      <c r="AB9" s="121">
        <f>'46 Überblick'!U7</f>
        <v>-6.767142712829928E-2</v>
      </c>
      <c r="AC9" s="121">
        <f>'46 Überblick'!W7</f>
        <v>-0.21336674488001353</v>
      </c>
      <c r="AD9" s="121">
        <f>'46 Überblick'!Y7</f>
        <v>-0.21336674487999577</v>
      </c>
      <c r="AE9" s="121">
        <f>'46 Überblick'!AA7</f>
        <v>-3.0317881882107782</v>
      </c>
      <c r="AF9" s="121">
        <f>'46 Überblick'!AC7</f>
        <v>-4.7836681169770419</v>
      </c>
      <c r="AG9" s="121">
        <f>'46 Überblick'!AE7</f>
        <v>-7.5821892278061558</v>
      </c>
      <c r="AH9" s="121">
        <f>'46 Überblick'!AG7</f>
        <v>-7.7756556401844961</v>
      </c>
      <c r="AI9" s="121">
        <f>'46 Überblick'!AI7</f>
        <v>-12.972220765793411</v>
      </c>
      <c r="AJ9" s="121">
        <f>'46 Überblick'!AK7</f>
        <v>-10.354746154760083</v>
      </c>
      <c r="AK9" s="124">
        <f>'46 Überblick'!AM7</f>
        <v>-7.5423885628028318</v>
      </c>
    </row>
    <row r="10" spans="2:42" x14ac:dyDescent="0.45">
      <c r="B10" s="193" t="s">
        <v>165</v>
      </c>
      <c r="C10" s="84" t="s">
        <v>172</v>
      </c>
      <c r="D10" s="63"/>
      <c r="E10" s="327">
        <f>'44 Überblick'!E8</f>
        <v>21.825370266110586</v>
      </c>
      <c r="F10" s="121">
        <f>'44 Überblick'!G8</f>
        <v>-21.825370266110586</v>
      </c>
      <c r="G10" s="121">
        <f>'44 Überblick'!I8</f>
        <v>-10.724901686056278</v>
      </c>
      <c r="H10" s="232">
        <f>'44 Überblick'!K8</f>
        <v>10.724901686056278</v>
      </c>
      <c r="I10" s="232">
        <f>'44 Überblick'!M8</f>
        <v>8.1273274075246036</v>
      </c>
      <c r="J10" s="232">
        <f>'44 Überblick'!O8</f>
        <v>18.017720588676806</v>
      </c>
      <c r="K10" s="121">
        <f>'44 Überblick'!Q8</f>
        <v>-0.18467726989980449</v>
      </c>
      <c r="L10" s="232">
        <f>'44 Überblick'!S8</f>
        <v>2.4526976736351926</v>
      </c>
      <c r="M10" s="232">
        <f>'44 Überblick'!U8</f>
        <v>2.4128970086318695</v>
      </c>
      <c r="N10" s="232">
        <f>'44 Überblick'!W8</f>
        <v>16.919974918840207</v>
      </c>
      <c r="O10" s="121">
        <f>'44 Überblick'!Y8</f>
        <v>-18.017720588676806</v>
      </c>
      <c r="P10" s="121">
        <f>'44 Überblick'!AA8</f>
        <v>-5.8991076687925386</v>
      </c>
      <c r="Q10" s="121">
        <f>'44 Überblick'!AC8</f>
        <v>-2.4128970086318695</v>
      </c>
      <c r="R10" s="121">
        <f>'44 Überblick'!AE8</f>
        <v>-2.4526976736351926</v>
      </c>
      <c r="S10" s="121">
        <f>'44 Überblick'!AG8</f>
        <v>-6.8648048002898721</v>
      </c>
      <c r="T10" s="121">
        <f>'46 Überblick'!E8</f>
        <v>-0.21804285858598918</v>
      </c>
      <c r="U10" s="121">
        <f>'46 Überblick'!G8</f>
        <v>-7.2347540834272195E-2</v>
      </c>
      <c r="V10" s="121">
        <f>'46 Überblick'!I8</f>
        <v>-7.2347540834289958E-2</v>
      </c>
      <c r="W10" s="121">
        <f>'46 Überblick'!K8</f>
        <v>-18.182497526074936</v>
      </c>
      <c r="X10" s="321">
        <f>'46 Überblick'!M8</f>
        <v>7.0693824026913292</v>
      </c>
      <c r="Y10" s="121">
        <f>'46 Überblick'!O8</f>
        <v>-11.060667915050987</v>
      </c>
      <c r="Z10" s="121">
        <f>'46 Überblick'!Q8</f>
        <v>-11.152915788386929</v>
      </c>
      <c r="AA10" s="121">
        <f>'46 Überblick'!S8</f>
        <v>-11.100468580054311</v>
      </c>
      <c r="AB10" s="321">
        <f>'46 Überblick'!U8</f>
        <v>0.21804285858598682</v>
      </c>
      <c r="AC10" s="321">
        <f>'46 Überblick'!W8</f>
        <v>7.2347540834271015E-2</v>
      </c>
      <c r="AD10" s="321">
        <f>'46 Überblick'!Y8</f>
        <v>7.2347540834289958E-2</v>
      </c>
      <c r="AE10" s="321">
        <f>'46 Überblick'!AA8</f>
        <v>18.182497526074936</v>
      </c>
      <c r="AF10" s="121">
        <f>'46 Überblick'!AC8</f>
        <v>-7.0693824026913292</v>
      </c>
      <c r="AG10" s="321">
        <f>'46 Überblick'!AE8</f>
        <v>11.060667915050987</v>
      </c>
      <c r="AH10" s="321">
        <f>'46 Überblick'!AG8</f>
        <v>11.152915788386929</v>
      </c>
      <c r="AI10" s="321">
        <f>'46 Überblick'!AI8</f>
        <v>1.6706363770637325</v>
      </c>
      <c r="AJ10" s="321">
        <f>'46 Überblick'!AK8</f>
        <v>31.78811098809706</v>
      </c>
      <c r="AK10" s="326">
        <f>'46 Überblick'!AM8</f>
        <v>11.100468580054311</v>
      </c>
    </row>
    <row r="11" spans="2:42" ht="14.65" thickBot="1" x14ac:dyDescent="0.5">
      <c r="B11" s="194" t="s">
        <v>164</v>
      </c>
      <c r="C11" s="195" t="s">
        <v>173</v>
      </c>
      <c r="D11" s="215"/>
      <c r="E11" s="328">
        <f>'44 Überblick'!E9</f>
        <v>49.325370266110589</v>
      </c>
      <c r="F11" s="216">
        <f>'44 Überblick'!G9</f>
        <v>-49.325370266110589</v>
      </c>
      <c r="G11" s="216">
        <f>'44 Überblick'!I9</f>
        <v>-10.724901686056276</v>
      </c>
      <c r="H11" s="329">
        <f>'44 Überblick'!K9</f>
        <v>10.724901686056276</v>
      </c>
      <c r="I11" s="329">
        <f>'44 Überblick'!M9</f>
        <v>8.1273274075246036</v>
      </c>
      <c r="J11" s="329">
        <f>'44 Überblick'!O9</f>
        <v>45.517720588676802</v>
      </c>
      <c r="K11" s="216">
        <f>'44 Überblick'!Q9</f>
        <v>-0.18467726989980754</v>
      </c>
      <c r="L11" s="329">
        <f>'44 Überblick'!S9</f>
        <v>2.4526976736351918</v>
      </c>
      <c r="M11" s="329">
        <f>'44 Überblick'!U9</f>
        <v>2.4128970086318695</v>
      </c>
      <c r="N11" s="329">
        <f>'44 Überblick'!W9</f>
        <v>44.419974918840204</v>
      </c>
      <c r="O11" s="216">
        <f>'44 Überblick'!Y9</f>
        <v>-45.517720588676802</v>
      </c>
      <c r="P11" s="216">
        <f>'44 Überblick'!AA9</f>
        <v>-5.8991076687925386</v>
      </c>
      <c r="Q11" s="216">
        <f>'44 Überblick'!AC9</f>
        <v>-2.4128970086318695</v>
      </c>
      <c r="R11" s="216">
        <f>'44 Überblick'!AE9</f>
        <v>-2.4526976736351918</v>
      </c>
      <c r="S11" s="216">
        <f>'44 Überblick'!AG9</f>
        <v>-6.8648048002898747</v>
      </c>
      <c r="T11" s="216">
        <f>'46 Überblick'!E9</f>
        <v>-0.21804285858599468</v>
      </c>
      <c r="U11" s="216">
        <f>'46 Überblick'!G9</f>
        <v>-7.2347540834272195E-2</v>
      </c>
      <c r="V11" s="216">
        <f>'46 Überblick'!I9</f>
        <v>-7.2347540834289958E-2</v>
      </c>
      <c r="W11" s="216">
        <f>'46 Überblick'!K9</f>
        <v>-45.682497526074933</v>
      </c>
      <c r="X11" s="330">
        <f>'46 Überblick'!M9</f>
        <v>7.0693824026913301</v>
      </c>
      <c r="Y11" s="216">
        <f>'46 Überblick'!O9</f>
        <v>-38.560667915050992</v>
      </c>
      <c r="Z11" s="216">
        <f>'46 Überblick'!Q9</f>
        <v>-38.652915788386927</v>
      </c>
      <c r="AA11" s="216">
        <f>'46 Überblick'!S9</f>
        <v>-38.600468580054319</v>
      </c>
      <c r="AB11" s="330">
        <f>'46 Überblick'!U9</f>
        <v>0.21804285858598252</v>
      </c>
      <c r="AC11" s="330">
        <f>'46 Überblick'!W9</f>
        <v>7.2347540834266102E-2</v>
      </c>
      <c r="AD11" s="330">
        <f>'46 Überblick'!Y9</f>
        <v>7.2347540834289958E-2</v>
      </c>
      <c r="AE11" s="330">
        <f>'46 Überblick'!AA9</f>
        <v>45.682497526074933</v>
      </c>
      <c r="AF11" s="216">
        <f>'46 Überblick'!AC9</f>
        <v>-7.0693824026913301</v>
      </c>
      <c r="AG11" s="330">
        <f>'46 Überblick'!AE9</f>
        <v>38.560667915050992</v>
      </c>
      <c r="AH11" s="330">
        <f>'46 Überblick'!AG9</f>
        <v>38.652915788386927</v>
      </c>
      <c r="AI11" s="330">
        <f>'46 Überblick'!AI9</f>
        <v>29.170636377063733</v>
      </c>
      <c r="AJ11" s="330">
        <f>'46 Überblick'!AK9</f>
        <v>86.78811098809706</v>
      </c>
      <c r="AK11" s="331">
        <f>'46 Überblick'!AM9</f>
        <v>38.600468580054319</v>
      </c>
    </row>
    <row r="14" spans="2:42" ht="18" x14ac:dyDescent="0.55000000000000004">
      <c r="B14" s="72" t="s">
        <v>283</v>
      </c>
    </row>
    <row r="15" spans="2:42" ht="14.65" thickBot="1" x14ac:dyDescent="0.5"/>
    <row r="16" spans="2:42" ht="51" customHeight="1" x14ac:dyDescent="0.45">
      <c r="B16" s="260"/>
      <c r="C16" s="319"/>
      <c r="D16" s="210"/>
      <c r="E16" s="32" t="str">
        <f t="shared" ref="E16:AK16" si="0">E6</f>
        <v>Long Call Average</v>
      </c>
      <c r="F16" s="76" t="str">
        <f t="shared" si="0"/>
        <v>Short Call Average</v>
      </c>
      <c r="G16" s="76" t="str">
        <f t="shared" si="0"/>
        <v>Long Put Average</v>
      </c>
      <c r="H16" s="76" t="str">
        <f t="shared" si="0"/>
        <v>Short Put Average</v>
      </c>
      <c r="I16" s="76" t="str">
        <f t="shared" si="0"/>
        <v>Covered Call OTM Average</v>
      </c>
      <c r="J16" s="76" t="str">
        <f t="shared" si="0"/>
        <v>Protective Put Average</v>
      </c>
      <c r="K16" s="76" t="str">
        <f t="shared" si="0"/>
        <v>Collar Strategy Average</v>
      </c>
      <c r="L16" s="76" t="str">
        <f t="shared" si="0"/>
        <v>Bull Call Spread Average</v>
      </c>
      <c r="M16" s="76" t="str">
        <f t="shared" si="0"/>
        <v>Bull Put Spread Average</v>
      </c>
      <c r="N16" s="76" t="str">
        <f t="shared" si="0"/>
        <v>Call Backspread Average</v>
      </c>
      <c r="O16" s="76" t="str">
        <f t="shared" si="0"/>
        <v>Covered Put Average</v>
      </c>
      <c r="P16" s="76" t="str">
        <f t="shared" si="0"/>
        <v>Put Backspread Average</v>
      </c>
      <c r="Q16" s="76" t="str">
        <f t="shared" si="0"/>
        <v>Bear Put Spread Average</v>
      </c>
      <c r="R16" s="76" t="str">
        <f t="shared" si="0"/>
        <v>Bear Call Spread Average</v>
      </c>
      <c r="S16" s="76" t="str">
        <f t="shared" si="0"/>
        <v>Protective Call Average</v>
      </c>
      <c r="T16" s="76" t="str">
        <f t="shared" si="0"/>
        <v>Condor Options Average</v>
      </c>
      <c r="U16" s="76" t="str">
        <f t="shared" si="0"/>
        <v>Long Call Butterfly Average</v>
      </c>
      <c r="V16" s="76" t="str">
        <f t="shared" si="0"/>
        <v>Long Put Butterfly Average</v>
      </c>
      <c r="W16" s="76" t="str">
        <f t="shared" si="0"/>
        <v>Long Call Ladder Average</v>
      </c>
      <c r="X16" s="76" t="str">
        <f t="shared" si="0"/>
        <v>Long Put Ladder Average</v>
      </c>
      <c r="Y16" s="76" t="str">
        <f t="shared" si="0"/>
        <v>Short Strangle Average</v>
      </c>
      <c r="Z16" s="76" t="str">
        <f t="shared" si="0"/>
        <v>Short Straddle Average</v>
      </c>
      <c r="AA16" s="76" t="str">
        <f t="shared" si="0"/>
        <v>Short Guts Average</v>
      </c>
      <c r="AB16" s="76" t="str">
        <f t="shared" si="0"/>
        <v>Short Condor Strategie Average</v>
      </c>
      <c r="AC16" s="76" t="str">
        <f t="shared" si="0"/>
        <v>Short Call Butterfly Average</v>
      </c>
      <c r="AD16" s="76" t="str">
        <f t="shared" si="0"/>
        <v>Short Put Butterfly Average</v>
      </c>
      <c r="AE16" s="76" t="str">
        <f t="shared" si="0"/>
        <v>Short Call Ladder Average</v>
      </c>
      <c r="AF16" s="76" t="str">
        <f t="shared" si="0"/>
        <v>Short Put Ladder Average</v>
      </c>
      <c r="AG16" s="76" t="str">
        <f t="shared" si="0"/>
        <v>Long Strangle Average</v>
      </c>
      <c r="AH16" s="76" t="str">
        <f t="shared" si="0"/>
        <v>Long Straddle Average</v>
      </c>
      <c r="AI16" s="76" t="str">
        <f t="shared" si="0"/>
        <v>Strip Average</v>
      </c>
      <c r="AJ16" s="76" t="str">
        <f t="shared" si="0"/>
        <v>Strap Average</v>
      </c>
      <c r="AK16" s="33" t="str">
        <f t="shared" si="0"/>
        <v>Long Guts Average</v>
      </c>
      <c r="AL16" s="76"/>
      <c r="AM16" s="32" t="s">
        <v>259</v>
      </c>
      <c r="AN16" s="210"/>
      <c r="AO16" s="76" t="s">
        <v>260</v>
      </c>
      <c r="AP16" s="240"/>
    </row>
    <row r="17" spans="2:42" outlineLevel="1" x14ac:dyDescent="0.45">
      <c r="B17" s="357" t="s">
        <v>255</v>
      </c>
      <c r="C17" s="358"/>
      <c r="D17" s="63"/>
      <c r="E17" s="320">
        <f>'3'!C50</f>
        <v>-7.6746297338894109</v>
      </c>
      <c r="F17" s="232">
        <f>'4'!C50</f>
        <v>7.6746297338894109</v>
      </c>
      <c r="G17" s="121">
        <f>'5'!C50</f>
        <v>-10.724901686056278</v>
      </c>
      <c r="H17" s="232">
        <f>'6'!C50</f>
        <v>10.724901686056278</v>
      </c>
      <c r="I17" s="232">
        <f>'8-9'!C50</f>
        <v>6.1273274075246036</v>
      </c>
      <c r="J17" s="121">
        <f>'10-11'!C50</f>
        <v>-9.4822794113231978</v>
      </c>
      <c r="K17" s="121">
        <f>'12-13'!C50</f>
        <v>-2.1846772698998045</v>
      </c>
      <c r="L17" s="121">
        <f>'14-15'!C50</f>
        <v>-1.5473023263648074</v>
      </c>
      <c r="M17" s="232">
        <f>'16-17'!C50</f>
        <v>2.4128970086318695</v>
      </c>
      <c r="N17" s="121">
        <f>'18-19'!C50</f>
        <v>-4.5800250811597962</v>
      </c>
      <c r="O17" s="232">
        <f>'20'!C50</f>
        <v>9.4822794113231978</v>
      </c>
      <c r="P17" s="121">
        <f>'21'!C50</f>
        <v>-5.8991076687925386</v>
      </c>
      <c r="Q17" s="121">
        <f>'22'!C50</f>
        <v>-2.4128970086318695</v>
      </c>
      <c r="R17" s="232">
        <f>'23'!C50</f>
        <v>1.5473023263648074</v>
      </c>
      <c r="S17" s="121">
        <f>'24'!C50</f>
        <v>-6.8648048002898712</v>
      </c>
      <c r="T17" s="121">
        <f>'25'!C50</f>
        <v>-0.21804285858598593</v>
      </c>
      <c r="U17" s="121">
        <f>'26'!C50</f>
        <v>-7.2347540834272195E-2</v>
      </c>
      <c r="V17" s="121">
        <f>'27'!C50</f>
        <v>-7.2347540834289958E-2</v>
      </c>
      <c r="W17" s="232">
        <f>'28'!C50</f>
        <v>5.3175024739250638</v>
      </c>
      <c r="X17" s="232">
        <f>'29'!C50</f>
        <v>7.0693824026913283</v>
      </c>
      <c r="Y17" s="232">
        <f>'30'!C50</f>
        <v>14.439332084949012</v>
      </c>
      <c r="Z17" s="232">
        <f>'31'!C50</f>
        <v>16.347084211613069</v>
      </c>
      <c r="AA17" s="232">
        <f>'32'!C50</f>
        <v>18.399531419945689</v>
      </c>
      <c r="AB17" s="232">
        <f>'33'!C50</f>
        <v>0.21804285858598504</v>
      </c>
      <c r="AC17" s="232">
        <f>'34'!C51</f>
        <v>7.2347540834272195E-2</v>
      </c>
      <c r="AD17" s="232">
        <f>'35'!C50</f>
        <v>7.2347540834289958E-2</v>
      </c>
      <c r="AE17" s="121">
        <f>'36'!C50</f>
        <v>-5.3175024739250638</v>
      </c>
      <c r="AF17" s="121">
        <f>'37'!C50</f>
        <v>-7.0693824026913283</v>
      </c>
      <c r="AG17" s="121">
        <f>'38'!C50</f>
        <v>-14.439332084949012</v>
      </c>
      <c r="AH17" s="121">
        <f>'39'!C50</f>
        <v>-16.347084211613069</v>
      </c>
      <c r="AI17" s="121">
        <f>'40'!C50</f>
        <v>-25.829363622936267</v>
      </c>
      <c r="AJ17" s="121">
        <f>'41'!C50</f>
        <v>-23.21188901190294</v>
      </c>
      <c r="AK17" s="124">
        <f>'42'!C50</f>
        <v>-18.399531419945689</v>
      </c>
      <c r="AL17" s="63"/>
      <c r="AM17" s="236"/>
      <c r="AN17" s="63"/>
      <c r="AO17" s="63"/>
      <c r="AP17" s="237"/>
    </row>
    <row r="18" spans="2:42" outlineLevel="1" x14ac:dyDescent="0.45">
      <c r="B18" s="357" t="s">
        <v>256</v>
      </c>
      <c r="C18" s="358"/>
      <c r="D18" s="63"/>
      <c r="E18" s="320">
        <f>SIGN(E17)*Input!$C$81</f>
        <v>-100</v>
      </c>
      <c r="F18" s="233">
        <f>SIGN(F17)*Input!$C$81</f>
        <v>100</v>
      </c>
      <c r="G18" s="121">
        <f>SIGN(G17)*Input!$C$81</f>
        <v>-100</v>
      </c>
      <c r="H18" s="233">
        <f>SIGN(H17)*Input!$C$81</f>
        <v>100</v>
      </c>
      <c r="I18" s="233">
        <f>SIGN(I17)*Input!$C$81</f>
        <v>100</v>
      </c>
      <c r="J18" s="121">
        <f>SIGN(J17)*Input!$C$81</f>
        <v>-100</v>
      </c>
      <c r="K18" s="121">
        <f>SIGN(K17)*Input!$C$81</f>
        <v>-100</v>
      </c>
      <c r="L18" s="121">
        <f>SIGN(L17)*Input!$C$81</f>
        <v>-100</v>
      </c>
      <c r="M18" s="233">
        <f>SIGN(M17)*Input!$C$81</f>
        <v>100</v>
      </c>
      <c r="N18" s="121">
        <f>SIGN(N17)*Input!$C$81</f>
        <v>-100</v>
      </c>
      <c r="O18" s="233">
        <f>SIGN(O17)*Input!$C$81</f>
        <v>100</v>
      </c>
      <c r="P18" s="121">
        <f>SIGN(P17)*Input!$C$81</f>
        <v>-100</v>
      </c>
      <c r="Q18" s="121">
        <f>SIGN(Q17)*Input!$C$81</f>
        <v>-100</v>
      </c>
      <c r="R18" s="233">
        <f>SIGN(R17)*Input!$C$81</f>
        <v>100</v>
      </c>
      <c r="S18" s="121">
        <f>SIGN(S17)*Input!$C$81</f>
        <v>-100</v>
      </c>
      <c r="T18" s="121">
        <f>SIGN(T17)*Input!$C$81</f>
        <v>-100</v>
      </c>
      <c r="U18" s="121">
        <f>SIGN(U17)*Input!$C$81</f>
        <v>-100</v>
      </c>
      <c r="V18" s="121">
        <f>SIGN(V17)*Input!$C$81</f>
        <v>-100</v>
      </c>
      <c r="W18" s="233">
        <f>SIGN(W17)*Input!$C$81</f>
        <v>100</v>
      </c>
      <c r="X18" s="233">
        <f>SIGN(X17)*Input!$C$81</f>
        <v>100</v>
      </c>
      <c r="Y18" s="233">
        <f>SIGN(Y17)*Input!$C$81</f>
        <v>100</v>
      </c>
      <c r="Z18" s="233">
        <f>SIGN(Z17)*Input!$C$81</f>
        <v>100</v>
      </c>
      <c r="AA18" s="233">
        <f>SIGN(AA17)*Input!$C$81</f>
        <v>100</v>
      </c>
      <c r="AB18" s="233">
        <f>SIGN(AB17)*Input!$C$81</f>
        <v>100</v>
      </c>
      <c r="AC18" s="233">
        <f>SIGN(AC17)*Input!$C$81</f>
        <v>100</v>
      </c>
      <c r="AD18" s="233">
        <f>SIGN(AD17)*Input!$C$81</f>
        <v>100</v>
      </c>
      <c r="AE18" s="121">
        <f>SIGN(AE17)*Input!$C$81</f>
        <v>-100</v>
      </c>
      <c r="AF18" s="121">
        <f>SIGN(AF17)*Input!$C$81</f>
        <v>-100</v>
      </c>
      <c r="AG18" s="121">
        <f>SIGN(AG17)*Input!$C$81</f>
        <v>-100</v>
      </c>
      <c r="AH18" s="121">
        <f>SIGN(AH17)*Input!$C$81</f>
        <v>-100</v>
      </c>
      <c r="AI18" s="121">
        <f>SIGN(AI17)*Input!$C$81</f>
        <v>-100</v>
      </c>
      <c r="AJ18" s="121">
        <f>SIGN(AJ17)*Input!$C$81</f>
        <v>-100</v>
      </c>
      <c r="AK18" s="124">
        <f>SIGN(AK17)*Input!$C$81</f>
        <v>-100</v>
      </c>
      <c r="AL18" s="63"/>
      <c r="AM18" s="236"/>
      <c r="AN18" s="63"/>
      <c r="AO18" s="63"/>
      <c r="AP18" s="237"/>
    </row>
    <row r="19" spans="2:42" ht="14.65" outlineLevel="1" thickBot="1" x14ac:dyDescent="0.5">
      <c r="B19" s="359" t="s">
        <v>257</v>
      </c>
      <c r="C19" s="360"/>
      <c r="D19" s="63"/>
      <c r="E19" s="239">
        <f>ABS(E18/E17)</f>
        <v>13.029944566370785</v>
      </c>
      <c r="F19" s="235">
        <f t="shared" ref="F19:G19" si="1">ABS(F18/F17)</f>
        <v>13.029944566370785</v>
      </c>
      <c r="G19" s="235">
        <f t="shared" si="1"/>
        <v>9.3240947961334317</v>
      </c>
      <c r="H19" s="235">
        <f>ABS(H18/H17)</f>
        <v>9.3240947961334317</v>
      </c>
      <c r="I19" s="235">
        <f t="shared" ref="I19" si="2">ABS(I18/I17)</f>
        <v>16.320329133578856</v>
      </c>
      <c r="J19" s="235">
        <f t="shared" ref="J19" si="3">ABS(J18/J17)</f>
        <v>10.5459874848853</v>
      </c>
      <c r="K19" s="235">
        <f>ABS(K18/K17)</f>
        <v>45.773351230310681</v>
      </c>
      <c r="L19" s="235">
        <f t="shared" ref="L19" si="4">ABS(L18/L17)</f>
        <v>64.628610903040169</v>
      </c>
      <c r="M19" s="235">
        <f t="shared" ref="M19" si="5">ABS(M18/M17)</f>
        <v>41.443957053393149</v>
      </c>
      <c r="N19" s="235">
        <f t="shared" ref="N19" si="6">ABS(N18/N17)</f>
        <v>21.83394156755951</v>
      </c>
      <c r="O19" s="235">
        <f t="shared" ref="O19" si="7">ABS(O18/O17)</f>
        <v>10.5459874848853</v>
      </c>
      <c r="P19" s="235">
        <f t="shared" ref="P19" si="8">ABS(P18/P17)</f>
        <v>16.951716363649375</v>
      </c>
      <c r="Q19" s="235">
        <f t="shared" ref="Q19" si="9">ABS(Q18/Q17)</f>
        <v>41.443957053393149</v>
      </c>
      <c r="R19" s="235">
        <f t="shared" ref="R19" si="10">ABS(R18/R17)</f>
        <v>64.628610903040169</v>
      </c>
      <c r="S19" s="235">
        <f t="shared" ref="S19" si="11">ABS(S18/S17)</f>
        <v>14.567056589253264</v>
      </c>
      <c r="T19" s="235">
        <f t="shared" ref="T19" si="12">ABS(T18/T17)</f>
        <v>458.62543102077643</v>
      </c>
      <c r="U19" s="235">
        <f t="shared" ref="U19" si="13">ABS(U18/U17)</f>
        <v>1382.2169882604826</v>
      </c>
      <c r="V19" s="235">
        <f t="shared" ref="V19" si="14">ABS(V18/V17)</f>
        <v>1382.2169882601434</v>
      </c>
      <c r="W19" s="235">
        <f t="shared" ref="W19" si="15">ABS(W18/W17)</f>
        <v>18.805821057979866</v>
      </c>
      <c r="X19" s="235">
        <f t="shared" ref="X19" si="16">ABS(X18/X17)</f>
        <v>14.145507245714958</v>
      </c>
      <c r="Y19" s="235">
        <f t="shared" ref="Y19" si="17">ABS(Y18/Y17)</f>
        <v>6.9255280931059158</v>
      </c>
      <c r="Z19" s="235">
        <f t="shared" ref="Z19" si="18">ABS(Z18/Z17)</f>
        <v>6.1172988837336133</v>
      </c>
      <c r="AA19" s="235">
        <f t="shared" ref="AA19" si="19">ABS(AA18/AA17)</f>
        <v>5.4349210160643961</v>
      </c>
      <c r="AB19" s="235">
        <f t="shared" ref="AB19" si="20">ABS(AB18/AB17)</f>
        <v>458.62543102077831</v>
      </c>
      <c r="AC19" s="235">
        <f t="shared" ref="AC19" si="21">ABS(AC18/AC17)</f>
        <v>1382.2169882604826</v>
      </c>
      <c r="AD19" s="235">
        <f t="shared" ref="AD19" si="22">ABS(AD18/AD17)</f>
        <v>1382.2169882601434</v>
      </c>
      <c r="AE19" s="235">
        <f t="shared" ref="AE19" si="23">ABS(AE18/AE17)</f>
        <v>18.805821057979866</v>
      </c>
      <c r="AF19" s="235">
        <f t="shared" ref="AF19" si="24">ABS(AF18/AF17)</f>
        <v>14.145507245714958</v>
      </c>
      <c r="AG19" s="235">
        <f t="shared" ref="AG19" si="25">ABS(AG18/AG17)</f>
        <v>6.9255280931059158</v>
      </c>
      <c r="AH19" s="235">
        <f t="shared" ref="AH19" si="26">ABS(AH18/AH17)</f>
        <v>6.1172988837336133</v>
      </c>
      <c r="AI19" s="235">
        <f t="shared" ref="AI19" si="27">ABS(AI18/AI17)</f>
        <v>3.8715626702936192</v>
      </c>
      <c r="AJ19" s="235">
        <f t="shared" ref="AJ19" si="28">ABS(AJ18/AJ17)</f>
        <v>4.3081370908124068</v>
      </c>
      <c r="AK19" s="318">
        <f t="shared" ref="AK19" si="29">ABS(AK18/AK17)</f>
        <v>5.4349210160643961</v>
      </c>
      <c r="AL19" s="254"/>
      <c r="AM19" s="236"/>
      <c r="AN19" s="63"/>
      <c r="AO19" s="63"/>
      <c r="AP19" s="237"/>
    </row>
    <row r="20" spans="2:42" s="43" customFormat="1" ht="14.65" thickBot="1" x14ac:dyDescent="0.5">
      <c r="B20" s="261"/>
      <c r="C20" s="248"/>
      <c r="D20" s="71"/>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50"/>
      <c r="AN20" s="71"/>
      <c r="AO20" s="71"/>
      <c r="AP20" s="251"/>
    </row>
    <row r="21" spans="2:42" x14ac:dyDescent="0.45">
      <c r="B21" s="262" t="s">
        <v>168</v>
      </c>
      <c r="C21" s="242" t="s">
        <v>169</v>
      </c>
      <c r="D21" s="63"/>
      <c r="E21" s="309">
        <f>(E$19*E7)+E$18</f>
        <v>-200</v>
      </c>
      <c r="F21" s="310">
        <f>(F$19*F7)+F$18</f>
        <v>200</v>
      </c>
      <c r="G21" s="310">
        <f t="shared" ref="G21:AK21" si="30">(G$19*G7)+G$18</f>
        <v>331.4734033796056</v>
      </c>
      <c r="H21" s="311">
        <f t="shared" si="30"/>
        <v>-331.4734033796056</v>
      </c>
      <c r="I21" s="312">
        <f t="shared" si="30"/>
        <v>-697.61810234683708</v>
      </c>
      <c r="J21" s="311">
        <f t="shared" si="30"/>
        <v>-200</v>
      </c>
      <c r="K21" s="311">
        <f t="shared" si="30"/>
        <v>-291.54670246062147</v>
      </c>
      <c r="L21" s="311">
        <f t="shared" si="30"/>
        <v>-200</v>
      </c>
      <c r="M21" s="310">
        <f t="shared" si="30"/>
        <v>34.224171786427277</v>
      </c>
      <c r="N21" s="311">
        <f t="shared" si="30"/>
        <v>-200</v>
      </c>
      <c r="O21" s="310">
        <f t="shared" si="30"/>
        <v>200</v>
      </c>
      <c r="P21" s="313">
        <f t="shared" si="30"/>
        <v>630.63410181881909</v>
      </c>
      <c r="Q21" s="311">
        <f t="shared" si="30"/>
        <v>-34.224171786427277</v>
      </c>
      <c r="R21" s="310">
        <f t="shared" si="30"/>
        <v>200</v>
      </c>
      <c r="S21" s="310">
        <f t="shared" si="30"/>
        <v>601.18811240892921</v>
      </c>
      <c r="T21" s="311">
        <f t="shared" si="30"/>
        <v>-199.9999999999996</v>
      </c>
      <c r="U21" s="310">
        <f t="shared" si="30"/>
        <v>-200</v>
      </c>
      <c r="V21" s="310">
        <f t="shared" si="30"/>
        <v>-199.99999999999511</v>
      </c>
      <c r="W21" s="310">
        <f t="shared" si="30"/>
        <v>200</v>
      </c>
      <c r="X21" s="311">
        <f t="shared" si="30"/>
        <v>-521.42086953146293</v>
      </c>
      <c r="Y21" s="311">
        <f t="shared" si="30"/>
        <v>-167.05298893461355</v>
      </c>
      <c r="Z21" s="311">
        <f t="shared" si="30"/>
        <v>-136.4514386053487</v>
      </c>
      <c r="AA21" s="311">
        <f t="shared" si="30"/>
        <v>-109.79049791567061</v>
      </c>
      <c r="AB21" s="310">
        <f t="shared" si="30"/>
        <v>200.00000000000082</v>
      </c>
      <c r="AC21" s="310">
        <f t="shared" si="30"/>
        <v>200</v>
      </c>
      <c r="AD21" s="310">
        <f t="shared" si="30"/>
        <v>200.00000000000421</v>
      </c>
      <c r="AE21" s="311">
        <f t="shared" si="30"/>
        <v>-200</v>
      </c>
      <c r="AF21" s="310">
        <f t="shared" si="30"/>
        <v>521.4208695314627</v>
      </c>
      <c r="AG21" s="311">
        <f t="shared" si="30"/>
        <v>167.05298893461355</v>
      </c>
      <c r="AH21" s="310">
        <f t="shared" si="30"/>
        <v>136.4514386053487</v>
      </c>
      <c r="AI21" s="310">
        <f t="shared" si="30"/>
        <v>225.87189373229808</v>
      </c>
      <c r="AJ21" s="310">
        <f t="shared" si="30"/>
        <v>36.947539994682359</v>
      </c>
      <c r="AK21" s="314">
        <f t="shared" si="30"/>
        <v>109.79049791567061</v>
      </c>
      <c r="AL21" s="254"/>
      <c r="AM21" s="238">
        <f>MAX(E21:AK21)</f>
        <v>630.63410181881909</v>
      </c>
      <c r="AN21" s="177"/>
      <c r="AO21" s="234">
        <f>MIN(E21:AK21)</f>
        <v>-697.61810234683708</v>
      </c>
      <c r="AP21" s="177"/>
    </row>
    <row r="22" spans="2:42" x14ac:dyDescent="0.45">
      <c r="B22" s="263" t="s">
        <v>167</v>
      </c>
      <c r="C22" s="245" t="s">
        <v>170</v>
      </c>
      <c r="D22" s="63"/>
      <c r="E22" s="315">
        <f t="shared" ref="E22:AK22" si="31">(E$19*E8)+E$18</f>
        <v>-200</v>
      </c>
      <c r="F22" s="234">
        <f t="shared" si="31"/>
        <v>200</v>
      </c>
      <c r="G22" s="234">
        <f t="shared" si="31"/>
        <v>75.060796485936208</v>
      </c>
      <c r="H22" s="308">
        <f t="shared" si="31"/>
        <v>-75.060796485936208</v>
      </c>
      <c r="I22" s="308">
        <f t="shared" si="31"/>
        <v>-248.80905117341854</v>
      </c>
      <c r="J22" s="308">
        <f t="shared" si="31"/>
        <v>-200</v>
      </c>
      <c r="K22" s="243">
        <f t="shared" si="31"/>
        <v>-291.54670246062136</v>
      </c>
      <c r="L22" s="308">
        <f t="shared" si="31"/>
        <v>-200</v>
      </c>
      <c r="M22" s="234">
        <f t="shared" si="31"/>
        <v>34.224171786427405</v>
      </c>
      <c r="N22" s="308">
        <f t="shared" si="31"/>
        <v>-200</v>
      </c>
      <c r="O22" s="234">
        <f t="shared" si="31"/>
        <v>200</v>
      </c>
      <c r="P22" s="234">
        <f t="shared" si="31"/>
        <v>164.46190181846157</v>
      </c>
      <c r="Q22" s="308">
        <f t="shared" si="31"/>
        <v>-34.224171786427405</v>
      </c>
      <c r="R22" s="234">
        <f t="shared" si="31"/>
        <v>200</v>
      </c>
      <c r="S22" s="244">
        <f t="shared" si="31"/>
        <v>200.59405620446472</v>
      </c>
      <c r="T22" s="308">
        <f t="shared" si="31"/>
        <v>-199.9999999999996</v>
      </c>
      <c r="U22" s="234">
        <f t="shared" si="31"/>
        <v>-200</v>
      </c>
      <c r="V22" s="234">
        <f t="shared" si="31"/>
        <v>-199.99999999999756</v>
      </c>
      <c r="W22" s="234">
        <f t="shared" si="31"/>
        <v>200</v>
      </c>
      <c r="X22" s="308">
        <f t="shared" si="31"/>
        <v>-132.4194202743015</v>
      </c>
      <c r="Y22" s="234">
        <f t="shared" si="31"/>
        <v>23.399033625799163</v>
      </c>
      <c r="Z22" s="234">
        <f t="shared" si="31"/>
        <v>31.774280697325622</v>
      </c>
      <c r="AA22" s="234">
        <f t="shared" si="31"/>
        <v>39.669830026100314</v>
      </c>
      <c r="AB22" s="234">
        <f t="shared" si="31"/>
        <v>200.00000000000082</v>
      </c>
      <c r="AC22" s="234">
        <f t="shared" si="31"/>
        <v>200</v>
      </c>
      <c r="AD22" s="234">
        <f t="shared" si="31"/>
        <v>200</v>
      </c>
      <c r="AE22" s="308">
        <f t="shared" si="31"/>
        <v>-200</v>
      </c>
      <c r="AF22" s="234">
        <f t="shared" si="31"/>
        <v>132.4194202743015</v>
      </c>
      <c r="AG22" s="308">
        <f t="shared" si="31"/>
        <v>-23.399033625799163</v>
      </c>
      <c r="AH22" s="308">
        <f t="shared" si="31"/>
        <v>-31.774280697325622</v>
      </c>
      <c r="AI22" s="234">
        <f t="shared" si="31"/>
        <v>12.935946866149081</v>
      </c>
      <c r="AJ22" s="308">
        <f t="shared" si="31"/>
        <v>-81.526230002658821</v>
      </c>
      <c r="AK22" s="316">
        <f t="shared" si="31"/>
        <v>-39.669830026100314</v>
      </c>
      <c r="AL22" s="254"/>
      <c r="AM22" s="238">
        <f>MAX(E22:AK22)</f>
        <v>200.59405620446472</v>
      </c>
      <c r="AN22" s="179"/>
      <c r="AO22" s="234">
        <f>MIN(E22:AK22)</f>
        <v>-291.54670246062136</v>
      </c>
      <c r="AP22" s="179"/>
    </row>
    <row r="23" spans="2:42" x14ac:dyDescent="0.45">
      <c r="B23" s="264" t="s">
        <v>166</v>
      </c>
      <c r="C23" s="246" t="s">
        <v>171</v>
      </c>
      <c r="D23" s="63"/>
      <c r="E23" s="315">
        <f t="shared" ref="E23:AK23" si="32">(E$19*E9)+E$18</f>
        <v>-129.26601521113002</v>
      </c>
      <c r="F23" s="234">
        <f t="shared" si="32"/>
        <v>129.26601521113002</v>
      </c>
      <c r="G23" s="308">
        <f t="shared" si="32"/>
        <v>-149.38348539241852</v>
      </c>
      <c r="H23" s="234">
        <f t="shared" si="32"/>
        <v>149.38348539241852</v>
      </c>
      <c r="I23" s="234">
        <f t="shared" si="32"/>
        <v>144.04458582772963</v>
      </c>
      <c r="J23" s="308">
        <f t="shared" si="32"/>
        <v>-154.80291077906298</v>
      </c>
      <c r="K23" s="243">
        <f t="shared" si="32"/>
        <v>-200</v>
      </c>
      <c r="L23" s="308">
        <f t="shared" si="32"/>
        <v>-70.742778193919662</v>
      </c>
      <c r="M23" s="234">
        <f t="shared" si="32"/>
        <v>117.1120858932137</v>
      </c>
      <c r="N23" s="308">
        <f t="shared" si="32"/>
        <v>-168.8086549034864</v>
      </c>
      <c r="O23" s="234">
        <f t="shared" si="32"/>
        <v>154.80291077906298</v>
      </c>
      <c r="P23" s="308">
        <f t="shared" si="32"/>
        <v>-175.78326233764375</v>
      </c>
      <c r="Q23" s="308">
        <f t="shared" si="32"/>
        <v>-117.1120858932137</v>
      </c>
      <c r="R23" s="234">
        <f t="shared" si="32"/>
        <v>70.742778193919662</v>
      </c>
      <c r="S23" s="308">
        <f t="shared" si="32"/>
        <v>-137.56975747462889</v>
      </c>
      <c r="T23" s="308">
        <f t="shared" si="32"/>
        <v>-68.96416256549216</v>
      </c>
      <c r="U23" s="244">
        <f t="shared" si="32"/>
        <v>194.91913950299505</v>
      </c>
      <c r="V23" s="244">
        <f t="shared" si="32"/>
        <v>194.91913950289813</v>
      </c>
      <c r="W23" s="234">
        <f t="shared" si="32"/>
        <v>157.01526615318886</v>
      </c>
      <c r="X23" s="234">
        <f t="shared" si="32"/>
        <v>167.66741200979436</v>
      </c>
      <c r="Y23" s="234">
        <f t="shared" si="32"/>
        <v>152.51066450441658</v>
      </c>
      <c r="Z23" s="234">
        <f t="shared" si="32"/>
        <v>147.56600956799758</v>
      </c>
      <c r="AA23" s="234">
        <f t="shared" si="32"/>
        <v>140.99228611130084</v>
      </c>
      <c r="AB23" s="234">
        <f t="shared" si="32"/>
        <v>68.964162565492558</v>
      </c>
      <c r="AC23" s="308">
        <f t="shared" si="32"/>
        <v>-194.91913950299505</v>
      </c>
      <c r="AD23" s="308">
        <f t="shared" si="32"/>
        <v>-194.91913950289813</v>
      </c>
      <c r="AE23" s="308">
        <f t="shared" si="32"/>
        <v>-157.01526615318886</v>
      </c>
      <c r="AF23" s="308">
        <f t="shared" si="32"/>
        <v>-167.66741200979436</v>
      </c>
      <c r="AG23" s="308">
        <f t="shared" si="32"/>
        <v>-152.51066450441658</v>
      </c>
      <c r="AH23" s="308">
        <f t="shared" si="32"/>
        <v>-147.56600956799758</v>
      </c>
      <c r="AI23" s="308">
        <f t="shared" si="32"/>
        <v>-150.22276566765348</v>
      </c>
      <c r="AJ23" s="308">
        <f t="shared" si="32"/>
        <v>-144.60966597526905</v>
      </c>
      <c r="AK23" s="316">
        <f t="shared" si="32"/>
        <v>-140.99228611130084</v>
      </c>
      <c r="AL23" s="254"/>
      <c r="AM23" s="238">
        <f>MAX(E23:AK23)</f>
        <v>194.91913950299505</v>
      </c>
      <c r="AN23" s="180"/>
      <c r="AO23" s="234">
        <f>MIN(E23:AK23)</f>
        <v>-200</v>
      </c>
      <c r="AP23" s="180"/>
    </row>
    <row r="24" spans="2:42" x14ac:dyDescent="0.45">
      <c r="B24" s="265" t="s">
        <v>165</v>
      </c>
      <c r="C24" s="247" t="s">
        <v>172</v>
      </c>
      <c r="D24" s="63"/>
      <c r="E24" s="238">
        <f t="shared" ref="E24:AK24" si="33">(E$19*E10)+E$18</f>
        <v>184.38336470793814</v>
      </c>
      <c r="F24" s="308">
        <f t="shared" si="33"/>
        <v>-184.38336470793814</v>
      </c>
      <c r="G24" s="308">
        <f t="shared" si="33"/>
        <v>-200</v>
      </c>
      <c r="H24" s="234">
        <f t="shared" si="33"/>
        <v>200</v>
      </c>
      <c r="I24" s="234">
        <f t="shared" si="33"/>
        <v>232.6406582671577</v>
      </c>
      <c r="J24" s="234">
        <f t="shared" si="33"/>
        <v>90.014655834345803</v>
      </c>
      <c r="K24" s="234">
        <f t="shared" si="33"/>
        <v>-108.45329753937864</v>
      </c>
      <c r="L24" s="234">
        <f t="shared" si="33"/>
        <v>58.514443612160676</v>
      </c>
      <c r="M24" s="234">
        <f t="shared" si="33"/>
        <v>200</v>
      </c>
      <c r="N24" s="244">
        <f t="shared" si="33"/>
        <v>269.42974370252955</v>
      </c>
      <c r="O24" s="308">
        <f t="shared" si="33"/>
        <v>-90.014655834345803</v>
      </c>
      <c r="P24" s="308">
        <f t="shared" si="33"/>
        <v>-200</v>
      </c>
      <c r="Q24" s="308">
        <f t="shared" si="33"/>
        <v>-200</v>
      </c>
      <c r="R24" s="308">
        <f t="shared" si="33"/>
        <v>-58.514443612160676</v>
      </c>
      <c r="S24" s="308">
        <f t="shared" si="33"/>
        <v>-200</v>
      </c>
      <c r="T24" s="308">
        <f t="shared" si="33"/>
        <v>-200.00000000000148</v>
      </c>
      <c r="U24" s="308">
        <f t="shared" si="33"/>
        <v>-200</v>
      </c>
      <c r="V24" s="308">
        <f t="shared" si="33"/>
        <v>-200</v>
      </c>
      <c r="W24" s="243">
        <f t="shared" si="33"/>
        <v>-241.93679486252688</v>
      </c>
      <c r="X24" s="234">
        <f t="shared" si="33"/>
        <v>200</v>
      </c>
      <c r="Y24" s="234">
        <f t="shared" si="33"/>
        <v>23.399033625799163</v>
      </c>
      <c r="Z24" s="234">
        <f t="shared" si="33"/>
        <v>31.774280697325651</v>
      </c>
      <c r="AA24" s="234">
        <f t="shared" si="33"/>
        <v>39.669830026100314</v>
      </c>
      <c r="AB24" s="234">
        <f t="shared" si="33"/>
        <v>200.00000000000082</v>
      </c>
      <c r="AC24" s="234">
        <f t="shared" si="33"/>
        <v>199.99999999999835</v>
      </c>
      <c r="AD24" s="234">
        <f t="shared" si="33"/>
        <v>200</v>
      </c>
      <c r="AE24" s="234">
        <f t="shared" si="33"/>
        <v>241.93679486252688</v>
      </c>
      <c r="AF24" s="308">
        <f t="shared" si="33"/>
        <v>-200</v>
      </c>
      <c r="AG24" s="308">
        <f t="shared" si="33"/>
        <v>-23.399033625799163</v>
      </c>
      <c r="AH24" s="308">
        <f t="shared" si="33"/>
        <v>-31.774280697325651</v>
      </c>
      <c r="AI24" s="308">
        <f t="shared" si="33"/>
        <v>-93.532026566925481</v>
      </c>
      <c r="AJ24" s="234">
        <f t="shared" si="33"/>
        <v>36.947539994682359</v>
      </c>
      <c r="AK24" s="316">
        <f t="shared" si="33"/>
        <v>-39.669830026100314</v>
      </c>
      <c r="AL24" s="254"/>
      <c r="AM24" s="238">
        <f>MAX(E24:AK24)</f>
        <v>269.42974370252955</v>
      </c>
      <c r="AN24" s="181"/>
      <c r="AO24" s="234">
        <f>MIN(E24:AK24)</f>
        <v>-241.93679486252688</v>
      </c>
      <c r="AP24" s="181"/>
    </row>
    <row r="25" spans="2:42" ht="14.65" thickBot="1" x14ac:dyDescent="0.5">
      <c r="B25" s="266" t="s">
        <v>164</v>
      </c>
      <c r="C25" s="267" t="s">
        <v>173</v>
      </c>
      <c r="D25" s="215"/>
      <c r="E25" s="239">
        <f t="shared" ref="E25:AK25" si="34">(E$19*E11)+E$18</f>
        <v>542.70684028313474</v>
      </c>
      <c r="F25" s="317">
        <f>(F$19*F11)+F$18</f>
        <v>-542.70684028313474</v>
      </c>
      <c r="G25" s="235">
        <f>(G$19*G11)+G$18</f>
        <v>-200</v>
      </c>
      <c r="H25" s="235">
        <f t="shared" si="34"/>
        <v>200</v>
      </c>
      <c r="I25" s="235">
        <f t="shared" si="34"/>
        <v>232.6406582671577</v>
      </c>
      <c r="J25" s="235">
        <f t="shared" si="34"/>
        <v>380.02931166869149</v>
      </c>
      <c r="K25" s="235">
        <f t="shared" si="34"/>
        <v>-108.45329753937878</v>
      </c>
      <c r="L25" s="235">
        <f t="shared" si="34"/>
        <v>58.514443612160619</v>
      </c>
      <c r="M25" s="235">
        <f t="shared" si="34"/>
        <v>200</v>
      </c>
      <c r="N25" s="268">
        <f t="shared" si="34"/>
        <v>869.86313681041599</v>
      </c>
      <c r="O25" s="317">
        <f t="shared" si="34"/>
        <v>-380.02931166869149</v>
      </c>
      <c r="P25" s="317">
        <f t="shared" si="34"/>
        <v>-200</v>
      </c>
      <c r="Q25" s="317">
        <f t="shared" si="34"/>
        <v>-200</v>
      </c>
      <c r="R25" s="317">
        <f t="shared" si="34"/>
        <v>-58.514443612160619</v>
      </c>
      <c r="S25" s="317">
        <f t="shared" si="34"/>
        <v>-200.00000000000006</v>
      </c>
      <c r="T25" s="317">
        <f t="shared" si="34"/>
        <v>-200.00000000000401</v>
      </c>
      <c r="U25" s="317">
        <f t="shared" si="34"/>
        <v>-200</v>
      </c>
      <c r="V25" s="317">
        <f t="shared" si="34"/>
        <v>-200</v>
      </c>
      <c r="W25" s="269">
        <f t="shared" si="34"/>
        <v>-759.09687395697313</v>
      </c>
      <c r="X25" s="235">
        <f t="shared" si="34"/>
        <v>200.00000000000003</v>
      </c>
      <c r="Y25" s="317">
        <f t="shared" si="34"/>
        <v>-167.05298893461355</v>
      </c>
      <c r="Z25" s="317">
        <f t="shared" si="34"/>
        <v>-136.4514386053487</v>
      </c>
      <c r="AA25" s="317">
        <f t="shared" si="34"/>
        <v>-109.79049791567061</v>
      </c>
      <c r="AB25" s="235">
        <f t="shared" si="34"/>
        <v>199.99999999999886</v>
      </c>
      <c r="AC25" s="235">
        <f t="shared" si="34"/>
        <v>199.99999999999159</v>
      </c>
      <c r="AD25" s="235">
        <f t="shared" si="34"/>
        <v>200</v>
      </c>
      <c r="AE25" s="235">
        <f t="shared" si="34"/>
        <v>759.09687395697313</v>
      </c>
      <c r="AF25" s="317">
        <f t="shared" si="34"/>
        <v>-200.00000000000003</v>
      </c>
      <c r="AG25" s="235">
        <f t="shared" si="34"/>
        <v>167.05298893461355</v>
      </c>
      <c r="AH25" s="235">
        <f t="shared" si="34"/>
        <v>136.4514386053487</v>
      </c>
      <c r="AI25" s="235">
        <f t="shared" si="34"/>
        <v>12.935946866149052</v>
      </c>
      <c r="AJ25" s="235">
        <f t="shared" si="34"/>
        <v>273.89507998936472</v>
      </c>
      <c r="AK25" s="318">
        <f t="shared" si="34"/>
        <v>109.79049791567061</v>
      </c>
      <c r="AL25" s="254"/>
      <c r="AM25" s="239">
        <f>MAX(E25:AK25)</f>
        <v>869.86313681041599</v>
      </c>
      <c r="AN25" s="199"/>
      <c r="AO25" s="235">
        <f>MIN(E25:AK25)</f>
        <v>-759.09687395697313</v>
      </c>
      <c r="AP25" s="199"/>
    </row>
    <row r="28" spans="2:42" ht="18" x14ac:dyDescent="0.55000000000000004">
      <c r="B28" s="72" t="s">
        <v>284</v>
      </c>
    </row>
    <row r="29" spans="2:42" ht="14.65" thickBot="1" x14ac:dyDescent="0.5"/>
    <row r="30" spans="2:42" ht="39.4" x14ac:dyDescent="0.45">
      <c r="B30" s="260"/>
      <c r="C30" s="319"/>
      <c r="D30" s="210"/>
      <c r="E30" s="76" t="str">
        <f>N16</f>
        <v>Call Backspread Average</v>
      </c>
      <c r="F30" s="76" t="str">
        <f>P16</f>
        <v>Put Backspread Average</v>
      </c>
      <c r="G30" s="76" t="str">
        <f>S16</f>
        <v>Protective Call Average</v>
      </c>
      <c r="H30" s="33" t="s">
        <v>267</v>
      </c>
    </row>
    <row r="31" spans="2:42" x14ac:dyDescent="0.45">
      <c r="B31" s="236"/>
      <c r="C31" s="63"/>
      <c r="D31" s="63"/>
      <c r="E31" s="63"/>
      <c r="F31" s="63"/>
      <c r="G31" s="63"/>
      <c r="H31" s="237"/>
    </row>
    <row r="32" spans="2:42" x14ac:dyDescent="0.45">
      <c r="B32" s="262" t="s">
        <v>168</v>
      </c>
      <c r="C32" s="242" t="s">
        <v>169</v>
      </c>
      <c r="D32" s="63"/>
      <c r="E32" s="63"/>
      <c r="F32" s="244">
        <f>P21</f>
        <v>630.63410181881909</v>
      </c>
      <c r="G32" s="63"/>
      <c r="H32" s="237"/>
    </row>
    <row r="33" spans="2:8" x14ac:dyDescent="0.45">
      <c r="B33" s="263" t="s">
        <v>167</v>
      </c>
      <c r="C33" s="245" t="s">
        <v>170</v>
      </c>
      <c r="D33" s="63"/>
      <c r="E33" s="63"/>
      <c r="F33" s="63"/>
      <c r="G33" s="244">
        <f>S22</f>
        <v>200.59405620446472</v>
      </c>
      <c r="H33" s="237"/>
    </row>
    <row r="34" spans="2:8" x14ac:dyDescent="0.45">
      <c r="B34" s="264" t="s">
        <v>166</v>
      </c>
      <c r="C34" s="246" t="s">
        <v>171</v>
      </c>
      <c r="D34" s="63"/>
      <c r="E34" s="63"/>
      <c r="F34" s="63"/>
      <c r="G34" s="63"/>
      <c r="H34" s="271">
        <f>U23</f>
        <v>194.91913950299505</v>
      </c>
    </row>
    <row r="35" spans="2:8" x14ac:dyDescent="0.45">
      <c r="B35" s="265" t="s">
        <v>165</v>
      </c>
      <c r="C35" s="247" t="s">
        <v>172</v>
      </c>
      <c r="D35" s="63"/>
      <c r="E35" s="244">
        <f>N24</f>
        <v>269.42974370252955</v>
      </c>
      <c r="F35" s="63"/>
      <c r="G35" s="63"/>
      <c r="H35" s="237"/>
    </row>
    <row r="36" spans="2:8" ht="14.65" thickBot="1" x14ac:dyDescent="0.5">
      <c r="B36" s="266" t="s">
        <v>164</v>
      </c>
      <c r="C36" s="267" t="s">
        <v>173</v>
      </c>
      <c r="D36" s="215"/>
      <c r="E36" s="268">
        <f>N25</f>
        <v>869.86313681041599</v>
      </c>
      <c r="F36" s="215"/>
      <c r="G36" s="215"/>
      <c r="H36" s="270"/>
    </row>
    <row r="39" spans="2:8" ht="18" x14ac:dyDescent="0.55000000000000004">
      <c r="B39" s="72" t="s">
        <v>285</v>
      </c>
    </row>
    <row r="40" spans="2:8" ht="14.65" thickBot="1" x14ac:dyDescent="0.5"/>
    <row r="41" spans="2:8" ht="39.4" x14ac:dyDescent="0.45">
      <c r="B41" s="260"/>
      <c r="C41" s="319"/>
      <c r="D41" s="210"/>
      <c r="E41" s="32" t="str">
        <f>I16</f>
        <v>Covered Call OTM Average</v>
      </c>
      <c r="F41" s="32" t="str">
        <f>K16</f>
        <v>Collar Strategy Average</v>
      </c>
      <c r="G41" s="175" t="str">
        <f>W16</f>
        <v>Long Call Ladder Average</v>
      </c>
    </row>
    <row r="42" spans="2:8" x14ac:dyDescent="0.45">
      <c r="B42" s="236"/>
      <c r="C42" s="63"/>
      <c r="D42" s="63"/>
      <c r="E42" s="63"/>
      <c r="F42" s="63"/>
      <c r="G42" s="237"/>
    </row>
    <row r="43" spans="2:8" x14ac:dyDescent="0.45">
      <c r="B43" s="208" t="s">
        <v>168</v>
      </c>
      <c r="C43" s="209" t="s">
        <v>169</v>
      </c>
      <c r="D43" s="63"/>
      <c r="E43" s="203">
        <f>I21</f>
        <v>-697.61810234683708</v>
      </c>
      <c r="F43" s="63"/>
      <c r="G43" s="237"/>
    </row>
    <row r="44" spans="2:8" x14ac:dyDescent="0.45">
      <c r="B44" s="191" t="s">
        <v>167</v>
      </c>
      <c r="C44" s="82" t="s">
        <v>170</v>
      </c>
      <c r="D44" s="63"/>
      <c r="E44" s="63"/>
      <c r="F44" s="203">
        <f>K22</f>
        <v>-291.54670246062136</v>
      </c>
      <c r="G44" s="237"/>
    </row>
    <row r="45" spans="2:8" x14ac:dyDescent="0.45">
      <c r="B45" s="192" t="s">
        <v>166</v>
      </c>
      <c r="C45" s="83" t="s">
        <v>171</v>
      </c>
      <c r="D45" s="63"/>
      <c r="E45" s="63"/>
      <c r="F45" s="203">
        <f>K23</f>
        <v>-200</v>
      </c>
      <c r="G45" s="237"/>
    </row>
    <row r="46" spans="2:8" x14ac:dyDescent="0.45">
      <c r="B46" s="193" t="s">
        <v>165</v>
      </c>
      <c r="C46" s="84" t="s">
        <v>172</v>
      </c>
      <c r="D46" s="63"/>
      <c r="E46" s="63"/>
      <c r="F46" s="63"/>
      <c r="G46" s="272">
        <f>W24</f>
        <v>-241.93679486252688</v>
      </c>
    </row>
    <row r="47" spans="2:8" ht="14.65" thickBot="1" x14ac:dyDescent="0.5">
      <c r="B47" s="194" t="s">
        <v>164</v>
      </c>
      <c r="C47" s="195" t="s">
        <v>173</v>
      </c>
      <c r="D47" s="215"/>
      <c r="E47" s="215"/>
      <c r="F47" s="215"/>
      <c r="G47" s="273">
        <f>W25</f>
        <v>-759.09687395697313</v>
      </c>
    </row>
  </sheetData>
  <mergeCells count="3">
    <mergeCell ref="B17:C17"/>
    <mergeCell ref="B18:C18"/>
    <mergeCell ref="B19:C19"/>
  </mergeCells>
  <conditionalFormatting sqref="B2:B3 E6:AL6 F16:AL16">
    <cfRule type="containsBlanks" dxfId="138" priority="154">
      <formula>LEN(TRIM(B2))=0</formula>
    </cfRule>
  </conditionalFormatting>
  <conditionalFormatting sqref="B6:C6">
    <cfRule type="containsBlanks" dxfId="137" priority="153">
      <formula>LEN(TRIM(B6))=0</formula>
    </cfRule>
  </conditionalFormatting>
  <conditionalFormatting sqref="E16">
    <cfRule type="containsBlanks" dxfId="136" priority="133">
      <formula>LEN(TRIM(E16))=0</formula>
    </cfRule>
  </conditionalFormatting>
  <conditionalFormatting sqref="AM16">
    <cfRule type="containsBlanks" dxfId="135" priority="129">
      <formula>LEN(TRIM(AM16))=0</formula>
    </cfRule>
  </conditionalFormatting>
  <conditionalFormatting sqref="AO16">
    <cfRule type="containsBlanks" dxfId="134" priority="128">
      <formula>LEN(TRIM(AO16))=0</formula>
    </cfRule>
  </conditionalFormatting>
  <conditionalFormatting sqref="E41">
    <cfRule type="containsBlanks" dxfId="133" priority="127">
      <formula>LEN(TRIM(E41))=0</formula>
    </cfRule>
  </conditionalFormatting>
  <conditionalFormatting sqref="F41">
    <cfRule type="containsBlanks" dxfId="132" priority="126">
      <formula>LEN(TRIM(F41))=0</formula>
    </cfRule>
  </conditionalFormatting>
  <conditionalFormatting sqref="G41">
    <cfRule type="containsBlanks" dxfId="131" priority="125">
      <formula>LEN(TRIM(G41))=0</formula>
    </cfRule>
  </conditionalFormatting>
  <conditionalFormatting sqref="G30">
    <cfRule type="containsBlanks" dxfId="130" priority="120">
      <formula>LEN(TRIM(G30))=0</formula>
    </cfRule>
  </conditionalFormatting>
  <conditionalFormatting sqref="H30">
    <cfRule type="containsBlanks" dxfId="129" priority="119">
      <formula>LEN(TRIM(H30))=0</formula>
    </cfRule>
  </conditionalFormatting>
  <conditionalFormatting sqref="E30">
    <cfRule type="containsBlanks" dxfId="128" priority="122">
      <formula>LEN(TRIM(E30))=0</formula>
    </cfRule>
  </conditionalFormatting>
  <conditionalFormatting sqref="F30">
    <cfRule type="containsBlanks" dxfId="127" priority="121">
      <formula>LEN(TRIM(F30))=0</formula>
    </cfRule>
  </conditionalFormatting>
  <conditionalFormatting sqref="B4">
    <cfRule type="containsBlanks" dxfId="126" priority="115">
      <formula>LEN(TRIM(B4))=0</formula>
    </cfRule>
  </conditionalFormatting>
  <conditionalFormatting sqref="E17">
    <cfRule type="containsBlanks" dxfId="125" priority="114">
      <formula>LEN(TRIM(E17))=0</formula>
    </cfRule>
  </conditionalFormatting>
  <conditionalFormatting sqref="G17">
    <cfRule type="containsBlanks" dxfId="124" priority="113">
      <formula>LEN(TRIM(G17))=0</formula>
    </cfRule>
  </conditionalFormatting>
  <conditionalFormatting sqref="K17">
    <cfRule type="containsBlanks" dxfId="123" priority="112">
      <formula>LEN(TRIM(K17))=0</formula>
    </cfRule>
  </conditionalFormatting>
  <conditionalFormatting sqref="J17">
    <cfRule type="containsBlanks" dxfId="122" priority="111">
      <formula>LEN(TRIM(J17))=0</formula>
    </cfRule>
  </conditionalFormatting>
  <conditionalFormatting sqref="L17">
    <cfRule type="containsBlanks" dxfId="121" priority="110">
      <formula>LEN(TRIM(L17))=0</formula>
    </cfRule>
  </conditionalFormatting>
  <conditionalFormatting sqref="P17">
    <cfRule type="containsBlanks" dxfId="120" priority="109">
      <formula>LEN(TRIM(P17))=0</formula>
    </cfRule>
  </conditionalFormatting>
  <conditionalFormatting sqref="Q17">
    <cfRule type="containsBlanks" dxfId="119" priority="108">
      <formula>LEN(TRIM(Q17))=0</formula>
    </cfRule>
  </conditionalFormatting>
  <conditionalFormatting sqref="S17">
    <cfRule type="containsBlanks" dxfId="118" priority="107">
      <formula>LEN(TRIM(S17))=0</formula>
    </cfRule>
  </conditionalFormatting>
  <conditionalFormatting sqref="U17">
    <cfRule type="containsBlanks" dxfId="117" priority="106">
      <formula>LEN(TRIM(U17))=0</formula>
    </cfRule>
  </conditionalFormatting>
  <conditionalFormatting sqref="T17">
    <cfRule type="containsBlanks" dxfId="116" priority="105">
      <formula>LEN(TRIM(T17))=0</formula>
    </cfRule>
  </conditionalFormatting>
  <conditionalFormatting sqref="V17">
    <cfRule type="containsBlanks" dxfId="115" priority="104">
      <formula>LEN(TRIM(V17))=0</formula>
    </cfRule>
  </conditionalFormatting>
  <conditionalFormatting sqref="G18">
    <cfRule type="containsBlanks" dxfId="114" priority="103">
      <formula>LEN(TRIM(G18))=0</formula>
    </cfRule>
  </conditionalFormatting>
  <conditionalFormatting sqref="J18">
    <cfRule type="containsBlanks" dxfId="113" priority="102">
      <formula>LEN(TRIM(J18))=0</formula>
    </cfRule>
  </conditionalFormatting>
  <conditionalFormatting sqref="K18">
    <cfRule type="containsBlanks" dxfId="112" priority="101">
      <formula>LEN(TRIM(K18))=0</formula>
    </cfRule>
  </conditionalFormatting>
  <conditionalFormatting sqref="L18">
    <cfRule type="containsBlanks" dxfId="111" priority="100">
      <formula>LEN(TRIM(L18))=0</formula>
    </cfRule>
  </conditionalFormatting>
  <conditionalFormatting sqref="P18">
    <cfRule type="containsBlanks" dxfId="110" priority="99">
      <formula>LEN(TRIM(P18))=0</formula>
    </cfRule>
  </conditionalFormatting>
  <conditionalFormatting sqref="Q18">
    <cfRule type="containsBlanks" dxfId="109" priority="98">
      <formula>LEN(TRIM(Q18))=0</formula>
    </cfRule>
  </conditionalFormatting>
  <conditionalFormatting sqref="N18">
    <cfRule type="containsBlanks" dxfId="108" priority="97">
      <formula>LEN(TRIM(N18))=0</formula>
    </cfRule>
  </conditionalFormatting>
  <conditionalFormatting sqref="N17">
    <cfRule type="containsBlanks" dxfId="107" priority="96">
      <formula>LEN(TRIM(N17))=0</formula>
    </cfRule>
  </conditionalFormatting>
  <conditionalFormatting sqref="S18">
    <cfRule type="containsBlanks" dxfId="106" priority="95">
      <formula>LEN(TRIM(S18))=0</formula>
    </cfRule>
  </conditionalFormatting>
  <conditionalFormatting sqref="T18">
    <cfRule type="containsBlanks" dxfId="105" priority="94">
      <formula>LEN(TRIM(T18))=0</formula>
    </cfRule>
  </conditionalFormatting>
  <conditionalFormatting sqref="U18">
    <cfRule type="containsBlanks" dxfId="104" priority="93">
      <formula>LEN(TRIM(U18))=0</formula>
    </cfRule>
  </conditionalFormatting>
  <conditionalFormatting sqref="V18">
    <cfRule type="containsBlanks" dxfId="103" priority="92">
      <formula>LEN(TRIM(V18))=0</formula>
    </cfRule>
  </conditionalFormatting>
  <conditionalFormatting sqref="AF17">
    <cfRule type="containsBlanks" dxfId="102" priority="91">
      <formula>LEN(TRIM(AF17))=0</formula>
    </cfRule>
  </conditionalFormatting>
  <conditionalFormatting sqref="AF18">
    <cfRule type="containsBlanks" dxfId="101" priority="90">
      <formula>LEN(TRIM(AF18))=0</formula>
    </cfRule>
  </conditionalFormatting>
  <conditionalFormatting sqref="AG18">
    <cfRule type="containsBlanks" dxfId="100" priority="89">
      <formula>LEN(TRIM(AG18))=0</formula>
    </cfRule>
  </conditionalFormatting>
  <conditionalFormatting sqref="AG17">
    <cfRule type="containsBlanks" dxfId="99" priority="88">
      <formula>LEN(TRIM(AG17))=0</formula>
    </cfRule>
  </conditionalFormatting>
  <conditionalFormatting sqref="AH17:AK18">
    <cfRule type="containsBlanks" dxfId="98" priority="87">
      <formula>LEN(TRIM(AH17))=0</formula>
    </cfRule>
  </conditionalFormatting>
  <conditionalFormatting sqref="AK9">
    <cfRule type="containsBlanks" dxfId="97" priority="86">
      <formula>LEN(TRIM(AK9))=0</formula>
    </cfRule>
  </conditionalFormatting>
  <conditionalFormatting sqref="AJ9">
    <cfRule type="containsBlanks" dxfId="96" priority="85">
      <formula>LEN(TRIM(AJ9))=0</formula>
    </cfRule>
  </conditionalFormatting>
  <conditionalFormatting sqref="AI9">
    <cfRule type="containsBlanks" dxfId="95" priority="84">
      <formula>LEN(TRIM(AI9))=0</formula>
    </cfRule>
  </conditionalFormatting>
  <conditionalFormatting sqref="AH9">
    <cfRule type="containsBlanks" dxfId="94" priority="83">
      <formula>LEN(TRIM(AH9))=0</formula>
    </cfRule>
  </conditionalFormatting>
  <conditionalFormatting sqref="AG9">
    <cfRule type="containsBlanks" dxfId="93" priority="82">
      <formula>LEN(TRIM(AG9))=0</formula>
    </cfRule>
  </conditionalFormatting>
  <conditionalFormatting sqref="AF9:AF11">
    <cfRule type="containsBlanks" dxfId="92" priority="81">
      <formula>LEN(TRIM(AF9))=0</formula>
    </cfRule>
  </conditionalFormatting>
  <conditionalFormatting sqref="AE7:AE9">
    <cfRule type="containsBlanks" dxfId="91" priority="80">
      <formula>LEN(TRIM(AE7))=0</formula>
    </cfRule>
  </conditionalFormatting>
  <conditionalFormatting sqref="AD9">
    <cfRule type="containsBlanks" dxfId="90" priority="79">
      <formula>LEN(TRIM(AD9))=0</formula>
    </cfRule>
  </conditionalFormatting>
  <conditionalFormatting sqref="AC9">
    <cfRule type="containsBlanks" dxfId="89" priority="78">
      <formula>LEN(TRIM(AC9))=0</formula>
    </cfRule>
  </conditionalFormatting>
  <conditionalFormatting sqref="AB9">
    <cfRule type="containsBlanks" dxfId="88" priority="77">
      <formula>LEN(TRIM(AB9))=0</formula>
    </cfRule>
  </conditionalFormatting>
  <conditionalFormatting sqref="AA7:AA8">
    <cfRule type="containsBlanks" dxfId="87" priority="76">
      <formula>LEN(TRIM(AA7))=0</formula>
    </cfRule>
  </conditionalFormatting>
  <conditionalFormatting sqref="AA10:AA11">
    <cfRule type="containsBlanks" dxfId="86" priority="75">
      <formula>LEN(TRIM(AA10))=0</formula>
    </cfRule>
  </conditionalFormatting>
  <conditionalFormatting sqref="Z10:Z11">
    <cfRule type="containsBlanks" dxfId="85" priority="74">
      <formula>LEN(TRIM(Z10))=0</formula>
    </cfRule>
  </conditionalFormatting>
  <conditionalFormatting sqref="Y7:Z8">
    <cfRule type="containsBlanks" dxfId="84" priority="73">
      <formula>LEN(TRIM(Y7))=0</formula>
    </cfRule>
  </conditionalFormatting>
  <conditionalFormatting sqref="Y10:Y11">
    <cfRule type="containsBlanks" dxfId="83" priority="72">
      <formula>LEN(TRIM(Y10))=0</formula>
    </cfRule>
  </conditionalFormatting>
  <conditionalFormatting sqref="X7:X8">
    <cfRule type="containsBlanks" dxfId="82" priority="71">
      <formula>LEN(TRIM(X7))=0</formula>
    </cfRule>
  </conditionalFormatting>
  <conditionalFormatting sqref="W10:W11">
    <cfRule type="containsBlanks" dxfId="81" priority="70">
      <formula>LEN(TRIM(W10))=0</formula>
    </cfRule>
  </conditionalFormatting>
  <conditionalFormatting sqref="V7:V8">
    <cfRule type="containsBlanks" dxfId="80" priority="69">
      <formula>LEN(TRIM(V7))=0</formula>
    </cfRule>
  </conditionalFormatting>
  <conditionalFormatting sqref="V10:V11">
    <cfRule type="containsBlanks" dxfId="79" priority="68">
      <formula>LEN(TRIM(V10))=0</formula>
    </cfRule>
  </conditionalFormatting>
  <conditionalFormatting sqref="T7:U8">
    <cfRule type="containsBlanks" dxfId="78" priority="67">
      <formula>LEN(TRIM(T7))=0</formula>
    </cfRule>
  </conditionalFormatting>
  <conditionalFormatting sqref="T10:U11">
    <cfRule type="containsBlanks" dxfId="77" priority="66">
      <formula>LEN(TRIM(T10))=0</formula>
    </cfRule>
  </conditionalFormatting>
  <conditionalFormatting sqref="S9:S11">
    <cfRule type="containsBlanks" dxfId="76" priority="65">
      <formula>LEN(TRIM(S9))=0</formula>
    </cfRule>
  </conditionalFormatting>
  <conditionalFormatting sqref="R9:R11">
    <cfRule type="containsBlanks" dxfId="75" priority="64">
      <formula>LEN(TRIM(R9))=0</formula>
    </cfRule>
  </conditionalFormatting>
  <conditionalFormatting sqref="P9:Q11">
    <cfRule type="containsBlanks" dxfId="74" priority="63">
      <formula>LEN(TRIM(P9))=0</formula>
    </cfRule>
  </conditionalFormatting>
  <conditionalFormatting sqref="O10:O11">
    <cfRule type="containsBlanks" dxfId="73" priority="62">
      <formula>LEN(TRIM(O10))=0</formula>
    </cfRule>
  </conditionalFormatting>
  <conditionalFormatting sqref="N7:N9">
    <cfRule type="containsBlanks" dxfId="72" priority="61">
      <formula>LEN(TRIM(N7))=0</formula>
    </cfRule>
  </conditionalFormatting>
  <conditionalFormatting sqref="M7:M8">
    <cfRule type="containsBlanks" dxfId="71" priority="60">
      <formula>LEN(TRIM(M7))=0</formula>
    </cfRule>
  </conditionalFormatting>
  <conditionalFormatting sqref="L7:L8">
    <cfRule type="containsBlanks" dxfId="70" priority="59">
      <formula>LEN(TRIM(L7))=0</formula>
    </cfRule>
  </conditionalFormatting>
  <conditionalFormatting sqref="K7:K11">
    <cfRule type="containsBlanks" dxfId="69" priority="58">
      <formula>LEN(TRIM(K7))=0</formula>
    </cfRule>
  </conditionalFormatting>
  <conditionalFormatting sqref="J7:J8">
    <cfRule type="containsBlanks" dxfId="68" priority="57">
      <formula>LEN(TRIM(J7))=0</formula>
    </cfRule>
  </conditionalFormatting>
  <conditionalFormatting sqref="I7:I8">
    <cfRule type="containsBlanks" dxfId="67" priority="56">
      <formula>LEN(TRIM(I7))=0</formula>
    </cfRule>
  </conditionalFormatting>
  <conditionalFormatting sqref="H7:H8">
    <cfRule type="containsBlanks" dxfId="66" priority="55">
      <formula>LEN(TRIM(H7))=0</formula>
    </cfRule>
  </conditionalFormatting>
  <conditionalFormatting sqref="G10:G11">
    <cfRule type="containsBlanks" dxfId="65" priority="54">
      <formula>LEN(TRIM(G10))=0</formula>
    </cfRule>
  </conditionalFormatting>
  <conditionalFormatting sqref="F10:F11">
    <cfRule type="containsBlanks" dxfId="64" priority="53">
      <formula>LEN(TRIM(F10))=0</formula>
    </cfRule>
  </conditionalFormatting>
  <conditionalFormatting sqref="E7:E9">
    <cfRule type="containsBlanks" dxfId="63" priority="52">
      <formula>LEN(TRIM(E7))=0</formula>
    </cfRule>
  </conditionalFormatting>
  <conditionalFormatting sqref="E21">
    <cfRule type="containsBlanks" dxfId="62" priority="51">
      <formula>LEN(TRIM(E21))=0</formula>
    </cfRule>
  </conditionalFormatting>
  <conditionalFormatting sqref="E22">
    <cfRule type="containsBlanks" dxfId="61" priority="50">
      <formula>LEN(TRIM(E22))=0</formula>
    </cfRule>
  </conditionalFormatting>
  <conditionalFormatting sqref="E23">
    <cfRule type="containsBlanks" dxfId="60" priority="49">
      <formula>LEN(TRIM(E23))=0</formula>
    </cfRule>
  </conditionalFormatting>
  <conditionalFormatting sqref="F24">
    <cfRule type="containsBlanks" dxfId="59" priority="48">
      <formula>LEN(TRIM(F24))=0</formula>
    </cfRule>
  </conditionalFormatting>
  <conditionalFormatting sqref="F25">
    <cfRule type="containsBlanks" dxfId="58" priority="47">
      <formula>LEN(TRIM(F25))=0</formula>
    </cfRule>
  </conditionalFormatting>
  <conditionalFormatting sqref="G23">
    <cfRule type="containsBlanks" dxfId="57" priority="46">
      <formula>LEN(TRIM(G23))=0</formula>
    </cfRule>
  </conditionalFormatting>
  <conditionalFormatting sqref="G24">
    <cfRule type="containsBlanks" dxfId="56" priority="45">
      <formula>LEN(TRIM(G24))=0</formula>
    </cfRule>
  </conditionalFormatting>
  <conditionalFormatting sqref="H21:H22">
    <cfRule type="containsBlanks" dxfId="55" priority="44">
      <formula>LEN(TRIM(H21))=0</formula>
    </cfRule>
  </conditionalFormatting>
  <conditionalFormatting sqref="I22">
    <cfRule type="containsBlanks" dxfId="54" priority="43">
      <formula>LEN(TRIM(I22))=0</formula>
    </cfRule>
  </conditionalFormatting>
  <conditionalFormatting sqref="J21:J23">
    <cfRule type="containsBlanks" dxfId="53" priority="42">
      <formula>LEN(TRIM(J21))=0</formula>
    </cfRule>
  </conditionalFormatting>
  <conditionalFormatting sqref="K21:L21">
    <cfRule type="containsBlanks" dxfId="52" priority="41">
      <formula>LEN(TRIM(K21))=0</formula>
    </cfRule>
  </conditionalFormatting>
  <conditionalFormatting sqref="L22:L23">
    <cfRule type="containsBlanks" dxfId="51" priority="40">
      <formula>LEN(TRIM(L22))=0</formula>
    </cfRule>
  </conditionalFormatting>
  <conditionalFormatting sqref="N21:N22">
    <cfRule type="containsBlanks" dxfId="50" priority="39">
      <formula>LEN(TRIM(N21))=0</formula>
    </cfRule>
  </conditionalFormatting>
  <conditionalFormatting sqref="O24">
    <cfRule type="containsBlanks" dxfId="49" priority="38">
      <formula>LEN(TRIM(O24))=0</formula>
    </cfRule>
  </conditionalFormatting>
  <conditionalFormatting sqref="P23">
    <cfRule type="containsBlanks" dxfId="48" priority="37">
      <formula>LEN(TRIM(P23))=0</formula>
    </cfRule>
  </conditionalFormatting>
  <conditionalFormatting sqref="Q21:Q22">
    <cfRule type="containsBlanks" dxfId="47" priority="36">
      <formula>LEN(TRIM(Q21))=0</formula>
    </cfRule>
  </conditionalFormatting>
  <conditionalFormatting sqref="R24:R25">
    <cfRule type="containsBlanks" dxfId="46" priority="35">
      <formula>LEN(TRIM(R24))=0</formula>
    </cfRule>
  </conditionalFormatting>
  <conditionalFormatting sqref="P25:Q25 P24">
    <cfRule type="containsBlanks" dxfId="45" priority="34">
      <formula>LEN(TRIM(P24))=0</formula>
    </cfRule>
  </conditionalFormatting>
  <conditionalFormatting sqref="O25">
    <cfRule type="containsBlanks" dxfId="44" priority="33">
      <formula>LEN(TRIM(O25))=0</formula>
    </cfRule>
  </conditionalFormatting>
  <conditionalFormatting sqref="S23">
    <cfRule type="containsBlanks" dxfId="43" priority="32">
      <formula>LEN(TRIM(S23))=0</formula>
    </cfRule>
  </conditionalFormatting>
  <conditionalFormatting sqref="T23">
    <cfRule type="containsBlanks" dxfId="42" priority="31">
      <formula>LEN(TRIM(T23))=0</formula>
    </cfRule>
  </conditionalFormatting>
  <conditionalFormatting sqref="S24:V25">
    <cfRule type="containsBlanks" dxfId="41" priority="30">
      <formula>LEN(TRIM(S24))=0</formula>
    </cfRule>
  </conditionalFormatting>
  <conditionalFormatting sqref="X21:X22">
    <cfRule type="containsBlanks" dxfId="40" priority="29">
      <formula>LEN(TRIM(X21))=0</formula>
    </cfRule>
  </conditionalFormatting>
  <conditionalFormatting sqref="Y21">
    <cfRule type="containsBlanks" dxfId="39" priority="28">
      <formula>LEN(TRIM(Y21))=0</formula>
    </cfRule>
  </conditionalFormatting>
  <conditionalFormatting sqref="Z21">
    <cfRule type="containsBlanks" dxfId="38" priority="27">
      <formula>LEN(TRIM(Z21))=0</formula>
    </cfRule>
  </conditionalFormatting>
  <conditionalFormatting sqref="AA21">
    <cfRule type="containsBlanks" dxfId="37" priority="26">
      <formula>LEN(TRIM(AA21))=0</formula>
    </cfRule>
  </conditionalFormatting>
  <conditionalFormatting sqref="AA25">
    <cfRule type="containsBlanks" dxfId="36" priority="25">
      <formula>LEN(TRIM(AA25))=0</formula>
    </cfRule>
  </conditionalFormatting>
  <conditionalFormatting sqref="Z25">
    <cfRule type="containsBlanks" dxfId="35" priority="24">
      <formula>LEN(TRIM(Z25))=0</formula>
    </cfRule>
  </conditionalFormatting>
  <conditionalFormatting sqref="Y25">
    <cfRule type="containsBlanks" dxfId="34" priority="23">
      <formula>LEN(TRIM(Y25))=0</formula>
    </cfRule>
  </conditionalFormatting>
  <conditionalFormatting sqref="AC23">
    <cfRule type="containsBlanks" dxfId="33" priority="22">
      <formula>LEN(TRIM(AC23))=0</formula>
    </cfRule>
  </conditionalFormatting>
  <conditionalFormatting sqref="AD23">
    <cfRule type="containsBlanks" dxfId="32" priority="21">
      <formula>LEN(TRIM(AD23))=0</formula>
    </cfRule>
  </conditionalFormatting>
  <conditionalFormatting sqref="AE21:AE23">
    <cfRule type="containsBlanks" dxfId="31" priority="20">
      <formula>LEN(TRIM(AE21))=0</formula>
    </cfRule>
  </conditionalFormatting>
  <conditionalFormatting sqref="AF23">
    <cfRule type="containsBlanks" dxfId="30" priority="19">
      <formula>LEN(TRIM(AF23))=0</formula>
    </cfRule>
  </conditionalFormatting>
  <conditionalFormatting sqref="AF24:AF25">
    <cfRule type="containsBlanks" dxfId="29" priority="18">
      <formula>LEN(TRIM(AF24))=0</formula>
    </cfRule>
  </conditionalFormatting>
  <conditionalFormatting sqref="AG21:AG24">
    <cfRule type="containsBlanks" dxfId="28" priority="17">
      <formula>LEN(TRIM(AG21))=0</formula>
    </cfRule>
  </conditionalFormatting>
  <conditionalFormatting sqref="AH22:AH24">
    <cfRule type="containsBlanks" dxfId="27" priority="16">
      <formula>LEN(TRIM(AH22))=0</formula>
    </cfRule>
  </conditionalFormatting>
  <conditionalFormatting sqref="AI23:AI24">
    <cfRule type="containsBlanks" dxfId="26" priority="15">
      <formula>LEN(TRIM(AI23))=0</formula>
    </cfRule>
  </conditionalFormatting>
  <conditionalFormatting sqref="AJ23">
    <cfRule type="containsBlanks" dxfId="25" priority="14">
      <formula>LEN(TRIM(AJ23))=0</formula>
    </cfRule>
  </conditionalFormatting>
  <conditionalFormatting sqref="AJ22">
    <cfRule type="containsBlanks" dxfId="24" priority="13">
      <formula>LEN(TRIM(AJ22))=0</formula>
    </cfRule>
  </conditionalFormatting>
  <conditionalFormatting sqref="AK22:AK24">
    <cfRule type="containsBlanks" dxfId="23" priority="12">
      <formula>LEN(TRIM(AK22))=0</formula>
    </cfRule>
  </conditionalFormatting>
  <conditionalFormatting sqref="G9">
    <cfRule type="containsBlanks" dxfId="22" priority="11">
      <formula>LEN(TRIM(G9))=0</formula>
    </cfRule>
  </conditionalFormatting>
  <conditionalFormatting sqref="J9">
    <cfRule type="containsBlanks" dxfId="21" priority="10">
      <formula>LEN(TRIM(J9))=0</formula>
    </cfRule>
  </conditionalFormatting>
  <conditionalFormatting sqref="AE18">
    <cfRule type="containsBlanks" dxfId="20" priority="9">
      <formula>LEN(TRIM(AE18))=0</formula>
    </cfRule>
  </conditionalFormatting>
  <conditionalFormatting sqref="AE17">
    <cfRule type="containsBlanks" dxfId="19" priority="8">
      <formula>LEN(TRIM(AE17))=0</formula>
    </cfRule>
  </conditionalFormatting>
  <conditionalFormatting sqref="T21:T22">
    <cfRule type="containsBlanks" dxfId="18" priority="7">
      <formula>LEN(TRIM(T21))=0</formula>
    </cfRule>
  </conditionalFormatting>
  <conditionalFormatting sqref="Q23:Q24">
    <cfRule type="containsBlanks" dxfId="17" priority="6">
      <formula>LEN(TRIM(Q23))=0</formula>
    </cfRule>
  </conditionalFormatting>
  <conditionalFormatting sqref="N23">
    <cfRule type="containsBlanks" dxfId="16" priority="5">
      <formula>LEN(TRIM(N23))=0</formula>
    </cfRule>
  </conditionalFormatting>
  <conditionalFormatting sqref="E18">
    <cfRule type="containsBlanks" dxfId="15" priority="4">
      <formula>LEN(TRIM(E18))=0</formula>
    </cfRule>
  </conditionalFormatting>
  <conditionalFormatting sqref="B14">
    <cfRule type="containsBlanks" dxfId="14" priority="3">
      <formula>LEN(TRIM(B14))=0</formula>
    </cfRule>
  </conditionalFormatting>
  <conditionalFormatting sqref="B28">
    <cfRule type="containsBlanks" dxfId="13" priority="2">
      <formula>LEN(TRIM(B28))=0</formula>
    </cfRule>
  </conditionalFormatting>
  <conditionalFormatting sqref="B39">
    <cfRule type="containsBlanks" dxfId="12" priority="1">
      <formula>LEN(TRIM(B39))=0</formula>
    </cfRule>
  </conditionalFormatting>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AD2DC-2BC0-4BB3-947A-9103E0D3323A}">
  <dimension ref="B2:K118"/>
  <sheetViews>
    <sheetView topLeftCell="A32" zoomScale="74" zoomScaleNormal="74" workbookViewId="0">
      <selection activeCell="G62" sqref="G62"/>
    </sheetView>
  </sheetViews>
  <sheetFormatPr baseColWidth="10" defaultColWidth="11.59765625" defaultRowHeight="14.25" x14ac:dyDescent="0.45"/>
  <cols>
    <col min="1" max="1" width="4.9296875" style="43" customWidth="1"/>
    <col min="2" max="2" width="75.59765625" style="43" customWidth="1"/>
    <col min="3" max="3" width="28.33203125" style="43" customWidth="1"/>
    <col min="4" max="4" width="44.19921875" style="43" customWidth="1"/>
    <col min="5" max="5" width="25.19921875" style="43" bestFit="1" customWidth="1"/>
    <col min="6" max="6" width="11.86328125" style="43" bestFit="1" customWidth="1"/>
    <col min="7" max="7" width="33.46484375" style="43" bestFit="1" customWidth="1"/>
    <col min="8" max="8" width="24" style="43" customWidth="1"/>
    <col min="9" max="16384" width="11.59765625" style="43"/>
  </cols>
  <sheetData>
    <row r="2" spans="2:5" ht="25.5" x14ac:dyDescent="0.75">
      <c r="B2" s="174" t="s">
        <v>252</v>
      </c>
    </row>
    <row r="4" spans="2:5" x14ac:dyDescent="0.45">
      <c r="B4" s="89" t="s">
        <v>175</v>
      </c>
      <c r="C4" s="89"/>
    </row>
    <row r="5" spans="2:5" ht="12.75" customHeight="1" thickBot="1" x14ac:dyDescent="0.55000000000000004">
      <c r="B5" s="85"/>
      <c r="E5" s="44"/>
    </row>
    <row r="6" spans="2:5" x14ac:dyDescent="0.45">
      <c r="B6" s="130" t="s">
        <v>176</v>
      </c>
      <c r="C6" s="118" t="s">
        <v>241</v>
      </c>
    </row>
    <row r="7" spans="2:5" x14ac:dyDescent="0.45">
      <c r="B7" s="131" t="s">
        <v>210</v>
      </c>
      <c r="C7" s="124">
        <f>Input!C69</f>
        <v>8441.52</v>
      </c>
    </row>
    <row r="8" spans="2:5" ht="14.65" thickBot="1" x14ac:dyDescent="0.5">
      <c r="B8" s="132" t="s">
        <v>209</v>
      </c>
      <c r="C8" s="119" t="s">
        <v>177</v>
      </c>
    </row>
    <row r="9" spans="2:5" x14ac:dyDescent="0.45">
      <c r="B9" s="71"/>
    </row>
    <row r="10" spans="2:5" x14ac:dyDescent="0.45">
      <c r="B10" s="71"/>
    </row>
    <row r="11" spans="2:5" ht="15" customHeight="1" x14ac:dyDescent="0.5">
      <c r="B11" s="85" t="s">
        <v>286</v>
      </c>
    </row>
    <row r="12" spans="2:5" ht="16.149999999999999" thickBot="1" x14ac:dyDescent="0.55000000000000004">
      <c r="B12" s="85"/>
    </row>
    <row r="13" spans="2:5" ht="15.75" x14ac:dyDescent="0.5">
      <c r="B13" s="90" t="s">
        <v>212</v>
      </c>
      <c r="C13" s="91" t="s">
        <v>287</v>
      </c>
    </row>
    <row r="14" spans="2:5" ht="15" x14ac:dyDescent="0.45">
      <c r="B14" s="133" t="s">
        <v>213</v>
      </c>
      <c r="C14" s="96" t="s">
        <v>178</v>
      </c>
    </row>
    <row r="15" spans="2:5" ht="15" x14ac:dyDescent="0.45">
      <c r="B15" s="133" t="s">
        <v>214</v>
      </c>
      <c r="C15" s="96" t="s">
        <v>180</v>
      </c>
    </row>
    <row r="16" spans="2:5" ht="15" x14ac:dyDescent="0.45">
      <c r="B16" s="133" t="s">
        <v>215</v>
      </c>
      <c r="C16" s="96" t="s">
        <v>178</v>
      </c>
    </row>
    <row r="17" spans="2:8" ht="15" x14ac:dyDescent="0.45">
      <c r="B17" s="133" t="s">
        <v>181</v>
      </c>
      <c r="C17" s="96" t="s">
        <v>180</v>
      </c>
    </row>
    <row r="19" spans="2:8" ht="16.149999999999999" thickBot="1" x14ac:dyDescent="0.55000000000000004">
      <c r="B19" s="85"/>
    </row>
    <row r="20" spans="2:8" ht="16.149999999999999" thickBot="1" x14ac:dyDescent="0.55000000000000004">
      <c r="B20" s="134" t="s">
        <v>211</v>
      </c>
      <c r="C20" s="96" t="s">
        <v>180</v>
      </c>
    </row>
    <row r="21" spans="2:8" ht="15.75" x14ac:dyDescent="0.5">
      <c r="B21" s="85"/>
      <c r="C21" s="86"/>
      <c r="E21" s="85"/>
      <c r="F21" s="86"/>
    </row>
    <row r="22" spans="2:8" ht="15.75" x14ac:dyDescent="0.5">
      <c r="B22" s="85"/>
      <c r="G22" s="88"/>
      <c r="H22" s="88"/>
    </row>
    <row r="23" spans="2:8" ht="15.75" x14ac:dyDescent="0.5">
      <c r="B23" s="85"/>
      <c r="G23" s="88"/>
      <c r="H23" s="88"/>
    </row>
    <row r="24" spans="2:8" ht="15.75" x14ac:dyDescent="0.5">
      <c r="B24" s="85"/>
      <c r="G24" s="88"/>
      <c r="H24" s="88"/>
    </row>
    <row r="25" spans="2:8" ht="15.75" x14ac:dyDescent="0.5">
      <c r="B25" s="85"/>
      <c r="G25" s="88"/>
      <c r="H25" s="88"/>
    </row>
    <row r="26" spans="2:8" ht="15.75" x14ac:dyDescent="0.5">
      <c r="B26" s="85"/>
      <c r="G26" s="88"/>
      <c r="H26" s="88"/>
    </row>
    <row r="27" spans="2:8" ht="15.75" x14ac:dyDescent="0.5">
      <c r="B27" s="85" t="s">
        <v>216</v>
      </c>
      <c r="G27" s="88"/>
      <c r="H27" s="88"/>
    </row>
    <row r="28" spans="2:8" ht="16.149999999999999" thickBot="1" x14ac:dyDescent="0.55000000000000004">
      <c r="B28" s="85"/>
      <c r="G28" s="88"/>
      <c r="H28" s="88"/>
    </row>
    <row r="29" spans="2:8" ht="15.75" x14ac:dyDescent="0.5">
      <c r="B29" s="90" t="s">
        <v>288</v>
      </c>
      <c r="C29" s="91" t="s">
        <v>287</v>
      </c>
      <c r="G29" s="88"/>
      <c r="H29" s="88"/>
    </row>
    <row r="30" spans="2:8" ht="15.4" x14ac:dyDescent="0.45">
      <c r="B30" s="133" t="s">
        <v>221</v>
      </c>
      <c r="C30" s="96" t="s">
        <v>178</v>
      </c>
      <c r="G30" s="88"/>
      <c r="H30" s="88"/>
    </row>
    <row r="31" spans="2:8" ht="15.4" x14ac:dyDescent="0.45">
      <c r="B31" s="133" t="s">
        <v>217</v>
      </c>
      <c r="C31" s="97" t="s">
        <v>179</v>
      </c>
      <c r="G31" s="88"/>
      <c r="H31" s="88"/>
    </row>
    <row r="32" spans="2:8" ht="15.75" thickBot="1" x14ac:dyDescent="0.5">
      <c r="B32" s="133" t="s">
        <v>218</v>
      </c>
      <c r="C32" s="98" t="s">
        <v>180</v>
      </c>
      <c r="G32" s="88"/>
      <c r="H32" s="88"/>
    </row>
    <row r="33" spans="2:8" ht="15.4" x14ac:dyDescent="0.45">
      <c r="B33" s="133" t="s">
        <v>219</v>
      </c>
      <c r="C33" s="96" t="s">
        <v>178</v>
      </c>
      <c r="G33" s="88"/>
      <c r="H33" s="88"/>
    </row>
    <row r="34" spans="2:8" ht="15.4" x14ac:dyDescent="0.45">
      <c r="B34" s="133" t="s">
        <v>220</v>
      </c>
      <c r="C34" s="96" t="s">
        <v>178</v>
      </c>
      <c r="G34" s="88"/>
      <c r="H34" s="88"/>
    </row>
    <row r="35" spans="2:8" ht="15.75" thickBot="1" x14ac:dyDescent="0.5">
      <c r="G35" s="88"/>
      <c r="H35" s="88"/>
    </row>
    <row r="36" spans="2:8" ht="16.149999999999999" thickBot="1" x14ac:dyDescent="0.55000000000000004">
      <c r="B36" s="134" t="s">
        <v>211</v>
      </c>
      <c r="C36" s="99" t="s">
        <v>178</v>
      </c>
      <c r="G36" s="88"/>
      <c r="H36" s="88"/>
    </row>
    <row r="37" spans="2:8" ht="15.75" x14ac:dyDescent="0.5">
      <c r="B37" s="85"/>
      <c r="G37" s="88"/>
      <c r="H37" s="88"/>
    </row>
    <row r="38" spans="2:8" ht="15.75" x14ac:dyDescent="0.5">
      <c r="B38" s="85"/>
      <c r="G38" s="88"/>
      <c r="H38" s="88"/>
    </row>
    <row r="39" spans="2:8" ht="15.75" x14ac:dyDescent="0.5">
      <c r="B39" s="85" t="s">
        <v>233</v>
      </c>
      <c r="G39" s="88"/>
      <c r="H39" s="88"/>
    </row>
    <row r="40" spans="2:8" ht="15.4" x14ac:dyDescent="0.45">
      <c r="B40" s="88"/>
      <c r="G40" s="88"/>
      <c r="H40" s="88"/>
    </row>
    <row r="41" spans="2:8" ht="15.4" x14ac:dyDescent="0.45">
      <c r="B41" s="135" t="s">
        <v>222</v>
      </c>
      <c r="C41" s="120"/>
      <c r="G41" s="88"/>
    </row>
    <row r="42" spans="2:8" ht="15.4" x14ac:dyDescent="0.45">
      <c r="B42" s="136" t="s">
        <v>223</v>
      </c>
      <c r="C42" s="122">
        <f>Input!C88</f>
        <v>0</v>
      </c>
      <c r="G42" s="88"/>
    </row>
    <row r="43" spans="2:8" ht="15.4" x14ac:dyDescent="0.45">
      <c r="B43" s="136" t="s">
        <v>224</v>
      </c>
      <c r="C43" s="333">
        <f>Input!C89</f>
        <v>-5.0000000000000001E-3</v>
      </c>
      <c r="G43" s="88"/>
    </row>
    <row r="44" spans="2:8" ht="15.4" x14ac:dyDescent="0.45">
      <c r="B44" s="136" t="s">
        <v>225</v>
      </c>
      <c r="C44" s="123">
        <f>Input!C90</f>
        <v>2.5000000000000001E-3</v>
      </c>
      <c r="G44" s="88"/>
    </row>
    <row r="45" spans="2:8" ht="17.649999999999999" customHeight="1" x14ac:dyDescent="0.45">
      <c r="B45" s="137" t="s">
        <v>226</v>
      </c>
      <c r="C45" s="281">
        <f>Input!C91</f>
        <v>750000000000</v>
      </c>
      <c r="G45" s="88"/>
    </row>
    <row r="46" spans="2:8" ht="15.4" x14ac:dyDescent="0.45">
      <c r="B46" s="138" t="s">
        <v>227</v>
      </c>
      <c r="C46" s="282">
        <f>Input!C92</f>
        <v>0</v>
      </c>
      <c r="G46" s="88"/>
    </row>
    <row r="47" spans="2:8" ht="15.4" x14ac:dyDescent="0.45">
      <c r="B47" s="92" t="s">
        <v>228</v>
      </c>
      <c r="G47" s="88"/>
    </row>
    <row r="48" spans="2:8" ht="15.75" x14ac:dyDescent="0.5">
      <c r="B48" s="85"/>
      <c r="G48" s="88"/>
    </row>
    <row r="49" spans="2:7" ht="15.75" x14ac:dyDescent="0.5">
      <c r="B49" s="85" t="s">
        <v>234</v>
      </c>
      <c r="G49" s="88"/>
    </row>
    <row r="50" spans="2:7" ht="15.4" x14ac:dyDescent="0.45">
      <c r="B50" s="95" t="s">
        <v>289</v>
      </c>
      <c r="G50" s="88"/>
    </row>
    <row r="51" spans="2:7" ht="15.75" x14ac:dyDescent="0.5">
      <c r="B51" s="85"/>
      <c r="G51" s="88"/>
    </row>
    <row r="52" spans="2:7" ht="28.5" x14ac:dyDescent="0.45">
      <c r="B52" s="283" t="s">
        <v>229</v>
      </c>
      <c r="C52" s="284">
        <f>Input!C93</f>
        <v>0</v>
      </c>
      <c r="G52" s="88"/>
    </row>
    <row r="53" spans="2:7" ht="15.4" x14ac:dyDescent="0.45">
      <c r="B53" s="92" t="s">
        <v>183</v>
      </c>
      <c r="D53" s="87"/>
      <c r="G53" s="88"/>
    </row>
    <row r="54" spans="2:7" ht="15.75" x14ac:dyDescent="0.5">
      <c r="B54" s="85"/>
      <c r="D54" s="87"/>
      <c r="G54" s="88"/>
    </row>
    <row r="55" spans="2:7" ht="15.75" x14ac:dyDescent="0.5">
      <c r="B55" s="85" t="s">
        <v>235</v>
      </c>
      <c r="D55" s="87"/>
      <c r="G55" s="88"/>
    </row>
    <row r="56" spans="2:7" ht="15.75" x14ac:dyDescent="0.5">
      <c r="B56" s="85"/>
      <c r="G56" s="88"/>
    </row>
    <row r="57" spans="2:7" ht="15.4" x14ac:dyDescent="0.45">
      <c r="B57" s="133" t="s">
        <v>230</v>
      </c>
      <c r="G57" s="88"/>
    </row>
    <row r="58" spans="2:7" ht="29.25" customHeight="1" x14ac:dyDescent="0.45">
      <c r="G58" s="88"/>
    </row>
    <row r="59" spans="2:7" ht="15.75" x14ac:dyDescent="0.5">
      <c r="B59" s="85" t="s">
        <v>231</v>
      </c>
      <c r="G59" s="88"/>
    </row>
    <row r="60" spans="2:7" ht="15.75" x14ac:dyDescent="0.5">
      <c r="B60" s="85"/>
      <c r="G60" s="88"/>
    </row>
    <row r="61" spans="2:7" ht="38.65" customHeight="1" x14ac:dyDescent="0.45">
      <c r="B61" s="283" t="s">
        <v>232</v>
      </c>
      <c r="C61" s="285">
        <f>Input!C70</f>
        <v>82.23</v>
      </c>
      <c r="G61" s="88"/>
    </row>
    <row r="62" spans="2:7" ht="15.4" x14ac:dyDescent="0.45">
      <c r="B62" s="92" t="s">
        <v>182</v>
      </c>
      <c r="G62" s="88"/>
    </row>
    <row r="63" spans="2:7" ht="15.75" x14ac:dyDescent="0.5">
      <c r="B63" s="85"/>
      <c r="G63" s="88"/>
    </row>
    <row r="64" spans="2:7" ht="15.75" x14ac:dyDescent="0.5">
      <c r="B64" s="85" t="s">
        <v>236</v>
      </c>
      <c r="G64" s="88"/>
    </row>
    <row r="65" spans="2:11" ht="15.75" x14ac:dyDescent="0.5">
      <c r="B65" s="85"/>
      <c r="G65" s="88"/>
    </row>
    <row r="66" spans="2:11" ht="88.15" customHeight="1" x14ac:dyDescent="0.45">
      <c r="B66" s="141" t="s">
        <v>290</v>
      </c>
      <c r="G66" s="88"/>
    </row>
    <row r="67" spans="2:11" ht="15.75" x14ac:dyDescent="0.5">
      <c r="B67" s="85"/>
      <c r="G67" s="88"/>
    </row>
    <row r="68" spans="2:11" ht="15.75" x14ac:dyDescent="0.5">
      <c r="B68" s="85" t="s">
        <v>242</v>
      </c>
      <c r="G68" s="88"/>
    </row>
    <row r="69" spans="2:11" ht="15.75" x14ac:dyDescent="0.5">
      <c r="B69" s="85"/>
      <c r="G69" s="88"/>
    </row>
    <row r="70" spans="2:11" ht="15.4" x14ac:dyDescent="0.45">
      <c r="B70" s="94" t="s">
        <v>184</v>
      </c>
      <c r="C70" s="117"/>
      <c r="G70" s="88"/>
    </row>
    <row r="71" spans="2:11" ht="15.4" x14ac:dyDescent="0.45">
      <c r="B71" s="139" t="s">
        <v>237</v>
      </c>
      <c r="C71" s="162">
        <f>Input!C42</f>
        <v>70</v>
      </c>
      <c r="G71" s="88"/>
      <c r="J71" s="361"/>
    </row>
    <row r="72" spans="2:11" ht="15.4" x14ac:dyDescent="0.45">
      <c r="B72" s="140" t="s">
        <v>238</v>
      </c>
      <c r="C72" s="163">
        <f>Input!C67</f>
        <v>122.52</v>
      </c>
      <c r="G72" s="88"/>
      <c r="H72" s="88"/>
    </row>
    <row r="73" spans="2:11" ht="15.75" x14ac:dyDescent="0.5">
      <c r="B73" s="85"/>
      <c r="G73" s="88"/>
      <c r="H73" s="88"/>
    </row>
    <row r="74" spans="2:11" x14ac:dyDescent="0.45">
      <c r="B74" s="94" t="s">
        <v>0</v>
      </c>
      <c r="C74" s="117"/>
    </row>
    <row r="75" spans="2:11" x14ac:dyDescent="0.45">
      <c r="B75" s="139" t="s">
        <v>160</v>
      </c>
      <c r="C75" s="162">
        <f>Input!C62</f>
        <v>2</v>
      </c>
    </row>
    <row r="76" spans="2:11" x14ac:dyDescent="0.45">
      <c r="B76" s="139" t="s">
        <v>239</v>
      </c>
      <c r="C76" s="162">
        <f>'Ableitung Optionspreise'!H27</f>
        <v>6.8648048002898712</v>
      </c>
    </row>
    <row r="77" spans="2:11" x14ac:dyDescent="0.45">
      <c r="B77" s="139" t="s">
        <v>274</v>
      </c>
      <c r="C77" s="162">
        <f>Input!C44</f>
        <v>70</v>
      </c>
      <c r="I77" s="362"/>
      <c r="K77" s="361"/>
    </row>
    <row r="78" spans="2:11" x14ac:dyDescent="0.45">
      <c r="B78" s="139" t="s">
        <v>161</v>
      </c>
      <c r="C78" s="162">
        <f>Input!C63</f>
        <v>1</v>
      </c>
      <c r="I78" s="361"/>
      <c r="K78" s="361"/>
    </row>
    <row r="79" spans="2:11" x14ac:dyDescent="0.45">
      <c r="B79" s="139" t="s">
        <v>240</v>
      </c>
      <c r="C79" s="162">
        <f>'Ableitung Optionspreise'!I27</f>
        <v>9.4822794113231978</v>
      </c>
      <c r="I79" s="361"/>
    </row>
    <row r="80" spans="2:11" x14ac:dyDescent="0.45">
      <c r="B80" s="140" t="s">
        <v>275</v>
      </c>
      <c r="C80" s="163">
        <f>Input!C44</f>
        <v>70</v>
      </c>
    </row>
    <row r="81" spans="2:3" x14ac:dyDescent="0.45">
      <c r="B81" s="36"/>
      <c r="C81" s="36"/>
    </row>
    <row r="82" spans="2:3" x14ac:dyDescent="0.45">
      <c r="B82" s="54" t="s">
        <v>4</v>
      </c>
      <c r="C82" s="55" t="s">
        <v>19</v>
      </c>
    </row>
    <row r="83" spans="2:3" x14ac:dyDescent="0.45">
      <c r="B83" s="109">
        <f>Input!C5</f>
        <v>0</v>
      </c>
      <c r="C83" s="115">
        <f>SUM(IF(B83&gt;$C$77,B83-$C$77-$C$76,-$C$76)*$C$75,IF(B83&lt;$C$80,$C$80-B83-$C$79,-$C$79)*$C$78)</f>
        <v>46.78811098809706</v>
      </c>
    </row>
    <row r="84" spans="2:3" x14ac:dyDescent="0.45">
      <c r="B84" s="109">
        <f>Input!C6</f>
        <v>5</v>
      </c>
      <c r="C84" s="115">
        <f t="shared" ref="C84:C91" si="0">SUM(IF(B84&gt;$C$77,B84-$C$77-$C$76,-$C$76)*$C$75,IF(B84&lt;$C$80,$C$80-B84-$C$79,-$C$79)*$C$78)</f>
        <v>41.78811098809706</v>
      </c>
    </row>
    <row r="85" spans="2:3" x14ac:dyDescent="0.45">
      <c r="B85" s="109">
        <f>Input!C7</f>
        <v>10</v>
      </c>
      <c r="C85" s="115">
        <f t="shared" si="0"/>
        <v>36.78811098809706</v>
      </c>
    </row>
    <row r="86" spans="2:3" x14ac:dyDescent="0.45">
      <c r="B86" s="109">
        <f>Input!C8</f>
        <v>15</v>
      </c>
      <c r="C86" s="115">
        <f t="shared" si="0"/>
        <v>31.78811098809706</v>
      </c>
    </row>
    <row r="87" spans="2:3" x14ac:dyDescent="0.45">
      <c r="B87" s="109">
        <f>Input!C9</f>
        <v>20</v>
      </c>
      <c r="C87" s="115">
        <f t="shared" si="0"/>
        <v>26.78811098809706</v>
      </c>
    </row>
    <row r="88" spans="2:3" x14ac:dyDescent="0.45">
      <c r="B88" s="109">
        <f>Input!C10</f>
        <v>25</v>
      </c>
      <c r="C88" s="115">
        <f t="shared" si="0"/>
        <v>21.78811098809706</v>
      </c>
    </row>
    <row r="89" spans="2:3" x14ac:dyDescent="0.45">
      <c r="B89" s="109">
        <f>Input!C11</f>
        <v>30</v>
      </c>
      <c r="C89" s="115">
        <f t="shared" si="0"/>
        <v>16.78811098809706</v>
      </c>
    </row>
    <row r="90" spans="2:3" x14ac:dyDescent="0.45">
      <c r="B90" s="109">
        <f>Input!C12</f>
        <v>35</v>
      </c>
      <c r="C90" s="115">
        <f t="shared" si="0"/>
        <v>11.78811098809706</v>
      </c>
    </row>
    <row r="91" spans="2:3" x14ac:dyDescent="0.45">
      <c r="B91" s="109">
        <f>Input!C13</f>
        <v>40</v>
      </c>
      <c r="C91" s="115">
        <f t="shared" si="0"/>
        <v>6.7881109880970598</v>
      </c>
    </row>
    <row r="92" spans="2:3" x14ac:dyDescent="0.45">
      <c r="B92" s="109">
        <f>Input!C14</f>
        <v>45</v>
      </c>
      <c r="C92" s="115">
        <f t="shared" ref="C92:C111" si="1">SUM(IF(B92&gt;$C$77,B92-$C$77-$C$76,-$C$76)*$C$75,IF(B92&lt;$C$80,$C$80-B92-$C$79,-$C$79)*$C$78)</f>
        <v>1.7881109880970598</v>
      </c>
    </row>
    <row r="93" spans="2:3" x14ac:dyDescent="0.45">
      <c r="B93" s="109">
        <f>Input!C15</f>
        <v>50</v>
      </c>
      <c r="C93" s="115">
        <f t="shared" si="1"/>
        <v>-3.2118890119029402</v>
      </c>
    </row>
    <row r="94" spans="2:3" x14ac:dyDescent="0.45">
      <c r="B94" s="109">
        <f>Input!C16</f>
        <v>55</v>
      </c>
      <c r="C94" s="115">
        <f t="shared" si="1"/>
        <v>-8.2118890119029402</v>
      </c>
    </row>
    <row r="95" spans="2:3" x14ac:dyDescent="0.45">
      <c r="B95" s="109">
        <f>Input!C17</f>
        <v>60</v>
      </c>
      <c r="C95" s="115">
        <f t="shared" si="1"/>
        <v>-13.21188901190294</v>
      </c>
    </row>
    <row r="96" spans="2:3" x14ac:dyDescent="0.45">
      <c r="B96" s="109">
        <f>Input!C18</f>
        <v>65</v>
      </c>
      <c r="C96" s="115">
        <f t="shared" si="1"/>
        <v>-18.21188901190294</v>
      </c>
    </row>
    <row r="97" spans="2:6" x14ac:dyDescent="0.45">
      <c r="B97" s="109">
        <f>Input!C19</f>
        <v>70</v>
      </c>
      <c r="C97" s="115">
        <f t="shared" si="1"/>
        <v>-23.21188901190294</v>
      </c>
    </row>
    <row r="98" spans="2:6" x14ac:dyDescent="0.45">
      <c r="B98" s="109">
        <f>Input!C20</f>
        <v>75</v>
      </c>
      <c r="C98" s="115">
        <f>SUM(IF(B98&gt;$C$77,B98-$C$77-$C$76,-$C$76)*$C$75,IF(B98&lt;$C$80,$C$80-B98-$C$79,-$C$79)*$C$78)</f>
        <v>-13.21188901190294</v>
      </c>
    </row>
    <row r="99" spans="2:6" x14ac:dyDescent="0.45">
      <c r="B99" s="109">
        <f>Input!C21</f>
        <v>80</v>
      </c>
      <c r="C99" s="115">
        <f t="shared" si="1"/>
        <v>-3.2118890119029402</v>
      </c>
    </row>
    <row r="100" spans="2:6" x14ac:dyDescent="0.45">
      <c r="B100" s="109">
        <f>Input!C22</f>
        <v>85</v>
      </c>
      <c r="C100" s="115">
        <f t="shared" si="1"/>
        <v>6.7881109880970598</v>
      </c>
    </row>
    <row r="101" spans="2:6" x14ac:dyDescent="0.45">
      <c r="B101" s="109">
        <f>Input!C23</f>
        <v>90</v>
      </c>
      <c r="C101" s="115">
        <f t="shared" si="1"/>
        <v>16.78811098809706</v>
      </c>
    </row>
    <row r="102" spans="2:6" x14ac:dyDescent="0.45">
      <c r="B102" s="109">
        <f>Input!C24</f>
        <v>95</v>
      </c>
      <c r="C102" s="115">
        <f t="shared" si="1"/>
        <v>26.78811098809706</v>
      </c>
    </row>
    <row r="103" spans="2:6" x14ac:dyDescent="0.45">
      <c r="B103" s="109">
        <f>Input!C25</f>
        <v>100</v>
      </c>
      <c r="C103" s="115">
        <f t="shared" si="1"/>
        <v>36.78811098809706</v>
      </c>
    </row>
    <row r="104" spans="2:6" x14ac:dyDescent="0.45">
      <c r="B104" s="109">
        <f>Input!C26</f>
        <v>105</v>
      </c>
      <c r="C104" s="115">
        <f t="shared" si="1"/>
        <v>46.78811098809706</v>
      </c>
    </row>
    <row r="105" spans="2:6" x14ac:dyDescent="0.45">
      <c r="B105" s="109">
        <f>Input!C27</f>
        <v>110</v>
      </c>
      <c r="C105" s="115">
        <f t="shared" si="1"/>
        <v>56.788110988097053</v>
      </c>
    </row>
    <row r="106" spans="2:6" x14ac:dyDescent="0.45">
      <c r="B106" s="109">
        <f>Input!C28</f>
        <v>115</v>
      </c>
      <c r="C106" s="115">
        <f t="shared" si="1"/>
        <v>66.78811098809706</v>
      </c>
    </row>
    <row r="107" spans="2:6" x14ac:dyDescent="0.45">
      <c r="B107" s="109">
        <f>Input!C29</f>
        <v>120</v>
      </c>
      <c r="C107" s="115">
        <f t="shared" si="1"/>
        <v>76.78811098809706</v>
      </c>
    </row>
    <row r="108" spans="2:6" x14ac:dyDescent="0.45">
      <c r="B108" s="109">
        <f>Input!C67</f>
        <v>122.52</v>
      </c>
      <c r="C108" s="115">
        <f>SUM(IF(B108&gt;$C$77,B108-$C$77-$C$76,-$C$76)*$C$75,IF(B108&lt;$C$80,$C$80-B108-$C$79,-$C$79)*$C$78)</f>
        <v>81.828110988097052</v>
      </c>
      <c r="F108" s="361"/>
    </row>
    <row r="109" spans="2:6" x14ac:dyDescent="0.45">
      <c r="B109" s="109">
        <f>Input!C31</f>
        <v>130</v>
      </c>
      <c r="C109" s="115">
        <f t="shared" si="1"/>
        <v>96.78811098809706</v>
      </c>
      <c r="F109" s="361"/>
    </row>
    <row r="110" spans="2:6" x14ac:dyDescent="0.45">
      <c r="B110" s="109">
        <f>Input!C32</f>
        <v>135</v>
      </c>
      <c r="C110" s="115">
        <f t="shared" si="1"/>
        <v>106.78811098809706</v>
      </c>
      <c r="F110" s="361"/>
    </row>
    <row r="111" spans="2:6" x14ac:dyDescent="0.45">
      <c r="B111" s="110">
        <f>Input!C33</f>
        <v>140</v>
      </c>
      <c r="C111" s="116">
        <f t="shared" si="1"/>
        <v>116.78811098809706</v>
      </c>
      <c r="F111" s="361"/>
    </row>
    <row r="112" spans="2:6" x14ac:dyDescent="0.45">
      <c r="B112" s="100"/>
      <c r="C112" s="93"/>
      <c r="F112" s="362"/>
    </row>
    <row r="113" spans="2:3" ht="14.65" thickBot="1" x14ac:dyDescent="0.5">
      <c r="B113" s="100"/>
      <c r="C113" s="93"/>
    </row>
    <row r="114" spans="2:3" x14ac:dyDescent="0.45">
      <c r="B114" s="363" t="s">
        <v>245</v>
      </c>
      <c r="C114" s="364"/>
    </row>
    <row r="115" spans="2:3" x14ac:dyDescent="0.45">
      <c r="B115" s="365" t="s">
        <v>243</v>
      </c>
      <c r="C115" s="366">
        <f>Input!C68</f>
        <v>100</v>
      </c>
    </row>
    <row r="116" spans="2:3" x14ac:dyDescent="0.45">
      <c r="B116" s="131" t="s">
        <v>263</v>
      </c>
      <c r="C116" s="316">
        <f>-C76*C75-C79*C78</f>
        <v>-23.21188901190294</v>
      </c>
    </row>
    <row r="117" spans="2:3" x14ac:dyDescent="0.45">
      <c r="B117" s="131" t="s">
        <v>244</v>
      </c>
      <c r="C117" s="316">
        <f>ABS(C115/C116)</f>
        <v>4.3081370908124068</v>
      </c>
    </row>
    <row r="118" spans="2:3" ht="14.65" thickBot="1" x14ac:dyDescent="0.5">
      <c r="B118" s="132" t="s">
        <v>246</v>
      </c>
      <c r="C118" s="119">
        <f>C117*C108</f>
        <v>352.52672001893518</v>
      </c>
    </row>
  </sheetData>
  <conditionalFormatting sqref="C6:C8 C71">
    <cfRule type="containsBlanks" dxfId="11" priority="22">
      <formula>LEN(TRIM(C6))=0</formula>
    </cfRule>
  </conditionalFormatting>
  <conditionalFormatting sqref="B81:C81 B83:C113">
    <cfRule type="containsBlanks" dxfId="10" priority="21">
      <formula>LEN(TRIM(B81))=0</formula>
    </cfRule>
  </conditionalFormatting>
  <conditionalFormatting sqref="C72">
    <cfRule type="containsBlanks" dxfId="9" priority="14">
      <formula>LEN(TRIM(C72))=0</formula>
    </cfRule>
  </conditionalFormatting>
  <conditionalFormatting sqref="C75:C80">
    <cfRule type="containsBlanks" dxfId="8" priority="11">
      <formula>LEN(TRIM(C75))=0</formula>
    </cfRule>
  </conditionalFormatting>
  <conditionalFormatting sqref="C115:C118">
    <cfRule type="containsBlanks" dxfId="7" priority="12">
      <formula>LEN(TRIM(C115))=0</formula>
    </cfRule>
  </conditionalFormatting>
  <conditionalFormatting sqref="C61">
    <cfRule type="containsBlanks" dxfId="6" priority="6">
      <formula>LEN(TRIM(C61))=0</formula>
    </cfRule>
  </conditionalFormatting>
  <conditionalFormatting sqref="C42 C46 C44">
    <cfRule type="containsBlanks" dxfId="5" priority="10">
      <formula>LEN(TRIM(C42))=0</formula>
    </cfRule>
  </conditionalFormatting>
  <conditionalFormatting sqref="C52">
    <cfRule type="containsBlanks" dxfId="4" priority="7">
      <formula>LEN(TRIM(C52))=0</formula>
    </cfRule>
  </conditionalFormatting>
  <conditionalFormatting sqref="B82:C82">
    <cfRule type="containsBlanks" dxfId="3" priority="5">
      <formula>LEN(TRIM(B82))=0</formula>
    </cfRule>
  </conditionalFormatting>
  <conditionalFormatting sqref="C45">
    <cfRule type="containsBlanks" dxfId="2" priority="4">
      <formula>LEN(TRIM(C45))=0</formula>
    </cfRule>
  </conditionalFormatting>
  <conditionalFormatting sqref="B2">
    <cfRule type="containsBlanks" dxfId="1" priority="3">
      <formula>LEN(TRIM(B2))=0</formula>
    </cfRule>
  </conditionalFormatting>
  <conditionalFormatting sqref="C43">
    <cfRule type="containsBlanks" dxfId="0" priority="1">
      <formula>LEN(TRIM(C43))=0</formula>
    </cfRule>
  </conditionalFormatting>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BE783-62E1-4CB7-B66C-EE7134915038}">
  <sheetPr>
    <tabColor theme="0" tint="-0.14999847407452621"/>
  </sheetPr>
  <dimension ref="B1:D50"/>
  <sheetViews>
    <sheetView zoomScale="70" zoomScaleNormal="70" workbookViewId="0">
      <selection activeCell="D20" sqref="D20"/>
    </sheetView>
  </sheetViews>
  <sheetFormatPr baseColWidth="10" defaultColWidth="9.1328125" defaultRowHeight="14.25" x14ac:dyDescent="0.45"/>
  <cols>
    <col min="1" max="1" width="6.19921875" customWidth="1"/>
    <col min="2" max="2" width="37.1328125" bestFit="1" customWidth="1"/>
    <col min="3" max="3" width="12.19921875" customWidth="1"/>
  </cols>
  <sheetData>
    <row r="1" spans="2:4" s="43" customFormat="1" x14ac:dyDescent="0.45"/>
    <row r="2" spans="2:4" ht="15.4" x14ac:dyDescent="0.45">
      <c r="B2" s="1" t="s">
        <v>192</v>
      </c>
    </row>
    <row r="3" spans="2:4" ht="15.75" thickBot="1" x14ac:dyDescent="0.5">
      <c r="B3" s="1"/>
    </row>
    <row r="4" spans="2:4" ht="14.65" thickBot="1" x14ac:dyDescent="0.5">
      <c r="B4" s="11" t="s">
        <v>0</v>
      </c>
      <c r="C4" s="12"/>
    </row>
    <row r="5" spans="2:4" x14ac:dyDescent="0.45">
      <c r="B5" s="13" t="s">
        <v>7</v>
      </c>
      <c r="C5" s="298">
        <f>'Ableitung Optionspreise'!M27</f>
        <v>10.724901686056278</v>
      </c>
      <c r="D5" s="5"/>
    </row>
    <row r="6" spans="2:4" ht="14.65" thickBot="1" x14ac:dyDescent="0.5">
      <c r="B6" s="4" t="s">
        <v>208</v>
      </c>
      <c r="C6" s="299">
        <f>Input!C45</f>
        <v>72</v>
      </c>
      <c r="D6" s="5"/>
    </row>
    <row r="7" spans="2:4" x14ac:dyDescent="0.45">
      <c r="B7" s="5"/>
      <c r="C7" s="5"/>
      <c r="D7" s="5"/>
    </row>
    <row r="18" spans="2:4" ht="14.65" thickBot="1" x14ac:dyDescent="0.5"/>
    <row r="19" spans="2:4" ht="52.9" thickBot="1" x14ac:dyDescent="0.5">
      <c r="B19" s="300" t="s">
        <v>188</v>
      </c>
      <c r="C19" s="301" t="s">
        <v>6</v>
      </c>
      <c r="D19" s="302" t="s">
        <v>5</v>
      </c>
    </row>
    <row r="20" spans="2:4" x14ac:dyDescent="0.45">
      <c r="B20" s="303">
        <f>Input!C5</f>
        <v>0</v>
      </c>
      <c r="C20" s="53">
        <f t="shared" ref="C20:C48" si="0">IF(B20&lt;$C$6,$C$6-B20-$C$5,-$C$5)</f>
        <v>61.275098313943722</v>
      </c>
      <c r="D20" s="304" t="str">
        <f>IF(B20&lt;$C$6,"ja","nein")</f>
        <v>ja</v>
      </c>
    </row>
    <row r="21" spans="2:4" x14ac:dyDescent="0.45">
      <c r="B21" s="303">
        <f>Input!C6</f>
        <v>5</v>
      </c>
      <c r="C21" s="53">
        <f t="shared" si="0"/>
        <v>56.275098313943722</v>
      </c>
      <c r="D21" s="304" t="str">
        <f t="shared" ref="D21:D48" si="1">IF(B21&lt;$C$6,"ja","nein")</f>
        <v>ja</v>
      </c>
    </row>
    <row r="22" spans="2:4" x14ac:dyDescent="0.45">
      <c r="B22" s="303">
        <f>Input!C7</f>
        <v>10</v>
      </c>
      <c r="C22" s="53">
        <f t="shared" si="0"/>
        <v>51.275098313943722</v>
      </c>
      <c r="D22" s="304" t="str">
        <f t="shared" si="1"/>
        <v>ja</v>
      </c>
    </row>
    <row r="23" spans="2:4" x14ac:dyDescent="0.45">
      <c r="B23" s="303">
        <f>Input!C8</f>
        <v>15</v>
      </c>
      <c r="C23" s="53">
        <f t="shared" si="0"/>
        <v>46.275098313943722</v>
      </c>
      <c r="D23" s="304" t="str">
        <f t="shared" si="1"/>
        <v>ja</v>
      </c>
    </row>
    <row r="24" spans="2:4" x14ac:dyDescent="0.45">
      <c r="B24" s="303">
        <f>Input!C9</f>
        <v>20</v>
      </c>
      <c r="C24" s="53">
        <f t="shared" si="0"/>
        <v>41.275098313943722</v>
      </c>
      <c r="D24" s="304" t="str">
        <f t="shared" si="1"/>
        <v>ja</v>
      </c>
    </row>
    <row r="25" spans="2:4" x14ac:dyDescent="0.45">
      <c r="B25" s="303">
        <f>Input!C10</f>
        <v>25</v>
      </c>
      <c r="C25" s="53">
        <f t="shared" si="0"/>
        <v>36.275098313943722</v>
      </c>
      <c r="D25" s="304" t="str">
        <f t="shared" si="1"/>
        <v>ja</v>
      </c>
    </row>
    <row r="26" spans="2:4" x14ac:dyDescent="0.45">
      <c r="B26" s="303">
        <f>Input!C11</f>
        <v>30</v>
      </c>
      <c r="C26" s="53">
        <f t="shared" si="0"/>
        <v>31.275098313943722</v>
      </c>
      <c r="D26" s="304" t="str">
        <f t="shared" si="1"/>
        <v>ja</v>
      </c>
    </row>
    <row r="27" spans="2:4" x14ac:dyDescent="0.45">
      <c r="B27" s="303">
        <f>Input!C12</f>
        <v>35</v>
      </c>
      <c r="C27" s="53">
        <f t="shared" si="0"/>
        <v>26.275098313943722</v>
      </c>
      <c r="D27" s="304" t="str">
        <f t="shared" si="1"/>
        <v>ja</v>
      </c>
    </row>
    <row r="28" spans="2:4" x14ac:dyDescent="0.45">
      <c r="B28" s="303">
        <f>Input!C13</f>
        <v>40</v>
      </c>
      <c r="C28" s="53">
        <f t="shared" si="0"/>
        <v>21.275098313943722</v>
      </c>
      <c r="D28" s="304" t="str">
        <f t="shared" si="1"/>
        <v>ja</v>
      </c>
    </row>
    <row r="29" spans="2:4" x14ac:dyDescent="0.45">
      <c r="B29" s="303">
        <f>Input!C14</f>
        <v>45</v>
      </c>
      <c r="C29" s="53">
        <f t="shared" si="0"/>
        <v>16.275098313943722</v>
      </c>
      <c r="D29" s="304" t="str">
        <f t="shared" si="1"/>
        <v>ja</v>
      </c>
    </row>
    <row r="30" spans="2:4" x14ac:dyDescent="0.45">
      <c r="B30" s="303">
        <f>Input!C15</f>
        <v>50</v>
      </c>
      <c r="C30" s="53">
        <f t="shared" si="0"/>
        <v>11.275098313943722</v>
      </c>
      <c r="D30" s="304" t="str">
        <f t="shared" si="1"/>
        <v>ja</v>
      </c>
    </row>
    <row r="31" spans="2:4" x14ac:dyDescent="0.45">
      <c r="B31" s="303">
        <f>Input!C16</f>
        <v>55</v>
      </c>
      <c r="C31" s="53">
        <f t="shared" si="0"/>
        <v>6.2750983139437224</v>
      </c>
      <c r="D31" s="304" t="str">
        <f t="shared" si="1"/>
        <v>ja</v>
      </c>
    </row>
    <row r="32" spans="2:4" x14ac:dyDescent="0.45">
      <c r="B32" s="303">
        <f>Input!C17</f>
        <v>60</v>
      </c>
      <c r="C32" s="53">
        <f t="shared" si="0"/>
        <v>1.2750983139437224</v>
      </c>
      <c r="D32" s="304" t="str">
        <f t="shared" si="1"/>
        <v>ja</v>
      </c>
    </row>
    <row r="33" spans="2:4" x14ac:dyDescent="0.45">
      <c r="B33" s="303">
        <f>Input!C18</f>
        <v>65</v>
      </c>
      <c r="C33" s="53">
        <f t="shared" si="0"/>
        <v>-3.7249016860562776</v>
      </c>
      <c r="D33" s="304" t="str">
        <f t="shared" si="1"/>
        <v>ja</v>
      </c>
    </row>
    <row r="34" spans="2:4" x14ac:dyDescent="0.45">
      <c r="B34" s="303">
        <f>Input!C19</f>
        <v>70</v>
      </c>
      <c r="C34" s="53">
        <f t="shared" si="0"/>
        <v>-8.7249016860562776</v>
      </c>
      <c r="D34" s="304" t="str">
        <f t="shared" si="1"/>
        <v>ja</v>
      </c>
    </row>
    <row r="35" spans="2:4" x14ac:dyDescent="0.45">
      <c r="B35" s="303">
        <f>Input!C20</f>
        <v>75</v>
      </c>
      <c r="C35" s="53">
        <f t="shared" si="0"/>
        <v>-10.724901686056278</v>
      </c>
      <c r="D35" s="304" t="str">
        <f t="shared" si="1"/>
        <v>nein</v>
      </c>
    </row>
    <row r="36" spans="2:4" x14ac:dyDescent="0.45">
      <c r="B36" s="303">
        <f>Input!C21</f>
        <v>80</v>
      </c>
      <c r="C36" s="53">
        <f t="shared" si="0"/>
        <v>-10.724901686056278</v>
      </c>
      <c r="D36" s="304" t="str">
        <f t="shared" si="1"/>
        <v>nein</v>
      </c>
    </row>
    <row r="37" spans="2:4" x14ac:dyDescent="0.45">
      <c r="B37" s="303">
        <f>Input!C22</f>
        <v>85</v>
      </c>
      <c r="C37" s="53">
        <f t="shared" si="0"/>
        <v>-10.724901686056278</v>
      </c>
      <c r="D37" s="304" t="str">
        <f t="shared" si="1"/>
        <v>nein</v>
      </c>
    </row>
    <row r="38" spans="2:4" x14ac:dyDescent="0.45">
      <c r="B38" s="303">
        <f>Input!C23</f>
        <v>90</v>
      </c>
      <c r="C38" s="53">
        <f t="shared" si="0"/>
        <v>-10.724901686056278</v>
      </c>
      <c r="D38" s="304" t="str">
        <f t="shared" si="1"/>
        <v>nein</v>
      </c>
    </row>
    <row r="39" spans="2:4" x14ac:dyDescent="0.45">
      <c r="B39" s="303">
        <f>Input!C24</f>
        <v>95</v>
      </c>
      <c r="C39" s="53">
        <f t="shared" si="0"/>
        <v>-10.724901686056278</v>
      </c>
      <c r="D39" s="304" t="str">
        <f t="shared" si="1"/>
        <v>nein</v>
      </c>
    </row>
    <row r="40" spans="2:4" x14ac:dyDescent="0.45">
      <c r="B40" s="303">
        <f>Input!C25</f>
        <v>100</v>
      </c>
      <c r="C40" s="53">
        <f t="shared" si="0"/>
        <v>-10.724901686056278</v>
      </c>
      <c r="D40" s="304" t="str">
        <f t="shared" si="1"/>
        <v>nein</v>
      </c>
    </row>
    <row r="41" spans="2:4" x14ac:dyDescent="0.45">
      <c r="B41" s="303">
        <f>Input!C26</f>
        <v>105</v>
      </c>
      <c r="C41" s="53">
        <f t="shared" si="0"/>
        <v>-10.724901686056278</v>
      </c>
      <c r="D41" s="304" t="str">
        <f t="shared" si="1"/>
        <v>nein</v>
      </c>
    </row>
    <row r="42" spans="2:4" x14ac:dyDescent="0.45">
      <c r="B42" s="303">
        <f>Input!C27</f>
        <v>110</v>
      </c>
      <c r="C42" s="53">
        <f t="shared" si="0"/>
        <v>-10.724901686056278</v>
      </c>
      <c r="D42" s="304" t="str">
        <f t="shared" si="1"/>
        <v>nein</v>
      </c>
    </row>
    <row r="43" spans="2:4" x14ac:dyDescent="0.45">
      <c r="B43" s="303">
        <f>Input!C28</f>
        <v>115</v>
      </c>
      <c r="C43" s="53">
        <f t="shared" si="0"/>
        <v>-10.724901686056278</v>
      </c>
      <c r="D43" s="304" t="str">
        <f t="shared" si="1"/>
        <v>nein</v>
      </c>
    </row>
    <row r="44" spans="2:4" x14ac:dyDescent="0.45">
      <c r="B44" s="303">
        <f>Input!C29</f>
        <v>120</v>
      </c>
      <c r="C44" s="53">
        <f t="shared" si="0"/>
        <v>-10.724901686056278</v>
      </c>
      <c r="D44" s="304" t="str">
        <f t="shared" si="1"/>
        <v>nein</v>
      </c>
    </row>
    <row r="45" spans="2:4" x14ac:dyDescent="0.45">
      <c r="B45" s="303">
        <f>Input!C30</f>
        <v>125</v>
      </c>
      <c r="C45" s="53">
        <f t="shared" si="0"/>
        <v>-10.724901686056278</v>
      </c>
      <c r="D45" s="304" t="str">
        <f t="shared" si="1"/>
        <v>nein</v>
      </c>
    </row>
    <row r="46" spans="2:4" x14ac:dyDescent="0.45">
      <c r="B46" s="303">
        <f>Input!C31</f>
        <v>130</v>
      </c>
      <c r="C46" s="53">
        <f t="shared" si="0"/>
        <v>-10.724901686056278</v>
      </c>
      <c r="D46" s="304" t="str">
        <f t="shared" si="1"/>
        <v>nein</v>
      </c>
    </row>
    <row r="47" spans="2:4" x14ac:dyDescent="0.45">
      <c r="B47" s="303">
        <f>Input!C32</f>
        <v>135</v>
      </c>
      <c r="C47" s="53">
        <f t="shared" si="0"/>
        <v>-10.724901686056278</v>
      </c>
      <c r="D47" s="304" t="str">
        <f t="shared" si="1"/>
        <v>nein</v>
      </c>
    </row>
    <row r="48" spans="2:4" ht="14.65" thickBot="1" x14ac:dyDescent="0.5">
      <c r="B48" s="305">
        <f>Input!C33</f>
        <v>140</v>
      </c>
      <c r="C48" s="306">
        <f t="shared" si="0"/>
        <v>-10.724901686056278</v>
      </c>
      <c r="D48" s="307" t="str">
        <f t="shared" si="1"/>
        <v>nein</v>
      </c>
    </row>
    <row r="50" spans="2:3" x14ac:dyDescent="0.45">
      <c r="B50" s="296" t="s">
        <v>262</v>
      </c>
      <c r="C50" s="297">
        <f>-C5</f>
        <v>-10.724901686056278</v>
      </c>
    </row>
  </sheetData>
  <conditionalFormatting sqref="A7:XFD7 A3:XFD3 A4:A6 D4:XFD6 A8:A37 A2 C2:XFD2 A49:XFD49 A38:B48 E8:XFD18 F19:XFD48 A51:XFD1048576 A50 D50:XFD50 C19:D48">
    <cfRule type="containsBlanks" dxfId="505" priority="20">
      <formula>LEN(TRIM(A2))=0</formula>
    </cfRule>
  </conditionalFormatting>
  <conditionalFormatting sqref="B5:B6">
    <cfRule type="containsBlanks" dxfId="504" priority="15">
      <formula>LEN(TRIM(B5))=0</formula>
    </cfRule>
  </conditionalFormatting>
  <conditionalFormatting sqref="B4">
    <cfRule type="containsBlanks" dxfId="503" priority="14">
      <formula>LEN(TRIM(B4))=0</formula>
    </cfRule>
  </conditionalFormatting>
  <conditionalFormatting sqref="B19">
    <cfRule type="containsBlanks" dxfId="502" priority="12">
      <formula>LEN(TRIM(B19))=0</formula>
    </cfRule>
  </conditionalFormatting>
  <conditionalFormatting sqref="B20:B48">
    <cfRule type="containsBlanks" dxfId="501" priority="10">
      <formula>LEN(TRIM(B20))=0</formula>
    </cfRule>
  </conditionalFormatting>
  <conditionalFormatting sqref="B2">
    <cfRule type="containsBlanks" dxfId="500" priority="9">
      <formula>LEN(TRIM(B2))=0</formula>
    </cfRule>
  </conditionalFormatting>
  <conditionalFormatting sqref="B8:D18">
    <cfRule type="containsBlanks" dxfId="499" priority="8">
      <formula>LEN(TRIM(B8))=0</formula>
    </cfRule>
  </conditionalFormatting>
  <conditionalFormatting sqref="E19:E48">
    <cfRule type="containsBlanks" dxfId="498" priority="7">
      <formula>LEN(TRIM(E19))=0</formula>
    </cfRule>
  </conditionalFormatting>
  <conditionalFormatting sqref="C50">
    <cfRule type="containsBlanks" dxfId="497" priority="3">
      <formula>LEN(TRIM(C50))=0</formula>
    </cfRule>
  </conditionalFormatting>
  <conditionalFormatting sqref="B50">
    <cfRule type="containsBlanks" dxfId="496" priority="2">
      <formula>LEN(TRIM(B50))=0</formula>
    </cfRule>
  </conditionalFormatting>
  <conditionalFormatting sqref="C5:C6">
    <cfRule type="containsBlanks" dxfId="495" priority="1">
      <formula>LEN(TRIM(C5))=0</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35D76-6DBB-46DA-A1E4-048BDACB5AFA}">
  <sheetPr>
    <tabColor theme="0" tint="-0.14999847407452621"/>
  </sheetPr>
  <dimension ref="B1:D50"/>
  <sheetViews>
    <sheetView zoomScale="73" zoomScaleNormal="73" workbookViewId="0">
      <selection activeCell="L50" sqref="L50"/>
    </sheetView>
  </sheetViews>
  <sheetFormatPr baseColWidth="10" defaultColWidth="9.1328125" defaultRowHeight="14.25" x14ac:dyDescent="0.45"/>
  <cols>
    <col min="1" max="1" width="4.1328125" customWidth="1"/>
    <col min="2" max="2" width="37.3984375" bestFit="1" customWidth="1"/>
    <col min="3" max="3" width="11" customWidth="1"/>
    <col min="4" max="4" width="14.06640625" customWidth="1"/>
  </cols>
  <sheetData>
    <row r="1" spans="2:4" s="43" customFormat="1" x14ac:dyDescent="0.45"/>
    <row r="2" spans="2:4" ht="15.4" x14ac:dyDescent="0.45">
      <c r="B2" s="1" t="s">
        <v>193</v>
      </c>
    </row>
    <row r="3" spans="2:4" ht="15.75" thickBot="1" x14ac:dyDescent="0.5">
      <c r="B3" s="1"/>
    </row>
    <row r="4" spans="2:4" ht="14.65" thickBot="1" x14ac:dyDescent="0.5">
      <c r="B4" s="11" t="s">
        <v>0</v>
      </c>
      <c r="C4" s="12"/>
    </row>
    <row r="5" spans="2:4" x14ac:dyDescent="0.45">
      <c r="B5" s="13" t="s">
        <v>7</v>
      </c>
      <c r="C5" s="298">
        <f>'Ableitung Optionspreise'!M27</f>
        <v>10.724901686056278</v>
      </c>
      <c r="D5" s="5"/>
    </row>
    <row r="6" spans="2:4" ht="14.65" thickBot="1" x14ac:dyDescent="0.5">
      <c r="B6" s="4" t="s">
        <v>208</v>
      </c>
      <c r="C6" s="299">
        <f>Input!C45</f>
        <v>72</v>
      </c>
      <c r="D6" s="5"/>
    </row>
    <row r="7" spans="2:4" x14ac:dyDescent="0.45">
      <c r="B7" s="5"/>
      <c r="C7" s="5"/>
      <c r="D7" s="5"/>
    </row>
    <row r="18" spans="2:4" ht="14.65" thickBot="1" x14ac:dyDescent="0.5"/>
    <row r="19" spans="2:4" ht="41.25" customHeight="1" thickBot="1" x14ac:dyDescent="0.5">
      <c r="B19" s="300" t="s">
        <v>188</v>
      </c>
      <c r="C19" s="301" t="s">
        <v>6</v>
      </c>
      <c r="D19" s="302" t="s">
        <v>5</v>
      </c>
    </row>
    <row r="20" spans="2:4" x14ac:dyDescent="0.45">
      <c r="B20" s="303">
        <f>Input!C5</f>
        <v>0</v>
      </c>
      <c r="C20" s="53">
        <f t="shared" ref="C20:C48" si="0">IF(B20&lt;$C$6,B20-$C$6+$C$5,$C$5)</f>
        <v>-61.275098313943722</v>
      </c>
      <c r="D20" s="304" t="str">
        <f>IF(B20&lt;$C$6,"ja","nein")</f>
        <v>ja</v>
      </c>
    </row>
    <row r="21" spans="2:4" x14ac:dyDescent="0.45">
      <c r="B21" s="303">
        <f>Input!C6</f>
        <v>5</v>
      </c>
      <c r="C21" s="53">
        <f t="shared" si="0"/>
        <v>-56.275098313943722</v>
      </c>
      <c r="D21" s="304" t="str">
        <f t="shared" ref="D21:D48" si="1">IF(B21&lt;$C$6,"ja","nein")</f>
        <v>ja</v>
      </c>
    </row>
    <row r="22" spans="2:4" x14ac:dyDescent="0.45">
      <c r="B22" s="303">
        <f>Input!C7</f>
        <v>10</v>
      </c>
      <c r="C22" s="53">
        <f t="shared" si="0"/>
        <v>-51.275098313943722</v>
      </c>
      <c r="D22" s="304" t="str">
        <f t="shared" si="1"/>
        <v>ja</v>
      </c>
    </row>
    <row r="23" spans="2:4" x14ac:dyDescent="0.45">
      <c r="B23" s="303">
        <f>Input!C8</f>
        <v>15</v>
      </c>
      <c r="C23" s="53">
        <f t="shared" si="0"/>
        <v>-46.275098313943722</v>
      </c>
      <c r="D23" s="304" t="str">
        <f t="shared" si="1"/>
        <v>ja</v>
      </c>
    </row>
    <row r="24" spans="2:4" x14ac:dyDescent="0.45">
      <c r="B24" s="303">
        <f>Input!C9</f>
        <v>20</v>
      </c>
      <c r="C24" s="53">
        <f t="shared" si="0"/>
        <v>-41.275098313943722</v>
      </c>
      <c r="D24" s="304" t="str">
        <f t="shared" si="1"/>
        <v>ja</v>
      </c>
    </row>
    <row r="25" spans="2:4" x14ac:dyDescent="0.45">
      <c r="B25" s="303">
        <f>Input!C10</f>
        <v>25</v>
      </c>
      <c r="C25" s="53">
        <f t="shared" si="0"/>
        <v>-36.275098313943722</v>
      </c>
      <c r="D25" s="304" t="str">
        <f t="shared" si="1"/>
        <v>ja</v>
      </c>
    </row>
    <row r="26" spans="2:4" x14ac:dyDescent="0.45">
      <c r="B26" s="303">
        <f>Input!C11</f>
        <v>30</v>
      </c>
      <c r="C26" s="53">
        <f t="shared" si="0"/>
        <v>-31.275098313943722</v>
      </c>
      <c r="D26" s="304" t="str">
        <f t="shared" si="1"/>
        <v>ja</v>
      </c>
    </row>
    <row r="27" spans="2:4" x14ac:dyDescent="0.45">
      <c r="B27" s="303">
        <f>Input!C12</f>
        <v>35</v>
      </c>
      <c r="C27" s="53">
        <f t="shared" si="0"/>
        <v>-26.275098313943722</v>
      </c>
      <c r="D27" s="304" t="str">
        <f t="shared" si="1"/>
        <v>ja</v>
      </c>
    </row>
    <row r="28" spans="2:4" x14ac:dyDescent="0.45">
      <c r="B28" s="303">
        <f>Input!C13</f>
        <v>40</v>
      </c>
      <c r="C28" s="53">
        <f t="shared" si="0"/>
        <v>-21.275098313943722</v>
      </c>
      <c r="D28" s="304" t="str">
        <f t="shared" si="1"/>
        <v>ja</v>
      </c>
    </row>
    <row r="29" spans="2:4" x14ac:dyDescent="0.45">
      <c r="B29" s="303">
        <f>Input!C14</f>
        <v>45</v>
      </c>
      <c r="C29" s="53">
        <f t="shared" si="0"/>
        <v>-16.275098313943722</v>
      </c>
      <c r="D29" s="304" t="str">
        <f t="shared" si="1"/>
        <v>ja</v>
      </c>
    </row>
    <row r="30" spans="2:4" x14ac:dyDescent="0.45">
      <c r="B30" s="303">
        <f>Input!C15</f>
        <v>50</v>
      </c>
      <c r="C30" s="53">
        <f t="shared" si="0"/>
        <v>-11.275098313943722</v>
      </c>
      <c r="D30" s="304" t="str">
        <f t="shared" si="1"/>
        <v>ja</v>
      </c>
    </row>
    <row r="31" spans="2:4" x14ac:dyDescent="0.45">
      <c r="B31" s="303">
        <f>Input!C16</f>
        <v>55</v>
      </c>
      <c r="C31" s="53">
        <f t="shared" si="0"/>
        <v>-6.2750983139437224</v>
      </c>
      <c r="D31" s="304" t="str">
        <f t="shared" si="1"/>
        <v>ja</v>
      </c>
    </row>
    <row r="32" spans="2:4" x14ac:dyDescent="0.45">
      <c r="B32" s="303">
        <f>Input!C17</f>
        <v>60</v>
      </c>
      <c r="C32" s="53">
        <f t="shared" si="0"/>
        <v>-1.2750983139437224</v>
      </c>
      <c r="D32" s="304" t="str">
        <f t="shared" si="1"/>
        <v>ja</v>
      </c>
    </row>
    <row r="33" spans="2:4" x14ac:dyDescent="0.45">
      <c r="B33" s="303">
        <f>Input!C18</f>
        <v>65</v>
      </c>
      <c r="C33" s="53">
        <f t="shared" si="0"/>
        <v>3.7249016860562776</v>
      </c>
      <c r="D33" s="304" t="str">
        <f t="shared" si="1"/>
        <v>ja</v>
      </c>
    </row>
    <row r="34" spans="2:4" x14ac:dyDescent="0.45">
      <c r="B34" s="303">
        <f>Input!C19</f>
        <v>70</v>
      </c>
      <c r="C34" s="53">
        <f t="shared" si="0"/>
        <v>8.7249016860562776</v>
      </c>
      <c r="D34" s="304" t="str">
        <f t="shared" si="1"/>
        <v>ja</v>
      </c>
    </row>
    <row r="35" spans="2:4" x14ac:dyDescent="0.45">
      <c r="B35" s="303">
        <f>Input!C20</f>
        <v>75</v>
      </c>
      <c r="C35" s="53">
        <f t="shared" si="0"/>
        <v>10.724901686056278</v>
      </c>
      <c r="D35" s="304" t="str">
        <f t="shared" si="1"/>
        <v>nein</v>
      </c>
    </row>
    <row r="36" spans="2:4" x14ac:dyDescent="0.45">
      <c r="B36" s="303">
        <f>Input!C21</f>
        <v>80</v>
      </c>
      <c r="C36" s="53">
        <f t="shared" si="0"/>
        <v>10.724901686056278</v>
      </c>
      <c r="D36" s="304" t="str">
        <f t="shared" si="1"/>
        <v>nein</v>
      </c>
    </row>
    <row r="37" spans="2:4" x14ac:dyDescent="0.45">
      <c r="B37" s="303">
        <f>Input!C22</f>
        <v>85</v>
      </c>
      <c r="C37" s="53">
        <f t="shared" si="0"/>
        <v>10.724901686056278</v>
      </c>
      <c r="D37" s="304" t="str">
        <f t="shared" si="1"/>
        <v>nein</v>
      </c>
    </row>
    <row r="38" spans="2:4" x14ac:dyDescent="0.45">
      <c r="B38" s="303">
        <f>Input!C23</f>
        <v>90</v>
      </c>
      <c r="C38" s="53">
        <f t="shared" si="0"/>
        <v>10.724901686056278</v>
      </c>
      <c r="D38" s="304" t="str">
        <f t="shared" si="1"/>
        <v>nein</v>
      </c>
    </row>
    <row r="39" spans="2:4" x14ac:dyDescent="0.45">
      <c r="B39" s="303">
        <f>Input!C24</f>
        <v>95</v>
      </c>
      <c r="C39" s="53">
        <f t="shared" si="0"/>
        <v>10.724901686056278</v>
      </c>
      <c r="D39" s="304" t="str">
        <f t="shared" si="1"/>
        <v>nein</v>
      </c>
    </row>
    <row r="40" spans="2:4" x14ac:dyDescent="0.45">
      <c r="B40" s="303">
        <f>Input!C25</f>
        <v>100</v>
      </c>
      <c r="C40" s="53">
        <f t="shared" si="0"/>
        <v>10.724901686056278</v>
      </c>
      <c r="D40" s="304" t="str">
        <f t="shared" si="1"/>
        <v>nein</v>
      </c>
    </row>
    <row r="41" spans="2:4" x14ac:dyDescent="0.45">
      <c r="B41" s="303">
        <f>Input!C26</f>
        <v>105</v>
      </c>
      <c r="C41" s="53">
        <f t="shared" si="0"/>
        <v>10.724901686056278</v>
      </c>
      <c r="D41" s="304" t="str">
        <f t="shared" si="1"/>
        <v>nein</v>
      </c>
    </row>
    <row r="42" spans="2:4" x14ac:dyDescent="0.45">
      <c r="B42" s="303">
        <f>Input!C27</f>
        <v>110</v>
      </c>
      <c r="C42" s="53">
        <f t="shared" si="0"/>
        <v>10.724901686056278</v>
      </c>
      <c r="D42" s="304" t="str">
        <f t="shared" si="1"/>
        <v>nein</v>
      </c>
    </row>
    <row r="43" spans="2:4" x14ac:dyDescent="0.45">
      <c r="B43" s="303">
        <f>Input!C28</f>
        <v>115</v>
      </c>
      <c r="C43" s="53">
        <f t="shared" si="0"/>
        <v>10.724901686056278</v>
      </c>
      <c r="D43" s="304" t="str">
        <f t="shared" si="1"/>
        <v>nein</v>
      </c>
    </row>
    <row r="44" spans="2:4" x14ac:dyDescent="0.45">
      <c r="B44" s="303">
        <f>Input!C29</f>
        <v>120</v>
      </c>
      <c r="C44" s="53">
        <f t="shared" si="0"/>
        <v>10.724901686056278</v>
      </c>
      <c r="D44" s="304" t="str">
        <f t="shared" si="1"/>
        <v>nein</v>
      </c>
    </row>
    <row r="45" spans="2:4" x14ac:dyDescent="0.45">
      <c r="B45" s="303">
        <f>Input!C30</f>
        <v>125</v>
      </c>
      <c r="C45" s="53">
        <f t="shared" si="0"/>
        <v>10.724901686056278</v>
      </c>
      <c r="D45" s="304" t="str">
        <f t="shared" si="1"/>
        <v>nein</v>
      </c>
    </row>
    <row r="46" spans="2:4" x14ac:dyDescent="0.45">
      <c r="B46" s="303">
        <f>Input!C31</f>
        <v>130</v>
      </c>
      <c r="C46" s="53">
        <f t="shared" si="0"/>
        <v>10.724901686056278</v>
      </c>
      <c r="D46" s="304" t="str">
        <f t="shared" si="1"/>
        <v>nein</v>
      </c>
    </row>
    <row r="47" spans="2:4" x14ac:dyDescent="0.45">
      <c r="B47" s="303">
        <f>Input!C32</f>
        <v>135</v>
      </c>
      <c r="C47" s="53">
        <f t="shared" si="0"/>
        <v>10.724901686056278</v>
      </c>
      <c r="D47" s="304" t="str">
        <f t="shared" si="1"/>
        <v>nein</v>
      </c>
    </row>
    <row r="48" spans="2:4" ht="14.65" thickBot="1" x14ac:dyDescent="0.5">
      <c r="B48" s="305">
        <f>Input!C33</f>
        <v>140</v>
      </c>
      <c r="C48" s="306">
        <f t="shared" si="0"/>
        <v>10.724901686056278</v>
      </c>
      <c r="D48" s="307" t="str">
        <f t="shared" si="1"/>
        <v>nein</v>
      </c>
    </row>
    <row r="50" spans="2:3" x14ac:dyDescent="0.45">
      <c r="B50" s="296" t="s">
        <v>262</v>
      </c>
      <c r="C50" s="223">
        <f>C5</f>
        <v>10.724901686056278</v>
      </c>
    </row>
  </sheetData>
  <conditionalFormatting sqref="A7:XFD7 A3:XFD3 A4:A6 D4:XFD6 A8:A37 A2 C2:XFD2 A49:XFD49 A38:B48 E8:XFD18 F19:XFD48 A51:XFD1048576 A50 D50:XFD50 C19:D48">
    <cfRule type="containsBlanks" dxfId="494" priority="18">
      <formula>LEN(TRIM(A2))=0</formula>
    </cfRule>
  </conditionalFormatting>
  <conditionalFormatting sqref="B5:B6">
    <cfRule type="containsBlanks" dxfId="493" priority="15">
      <formula>LEN(TRIM(B5))=0</formula>
    </cfRule>
  </conditionalFormatting>
  <conditionalFormatting sqref="B4">
    <cfRule type="containsBlanks" dxfId="492" priority="14">
      <formula>LEN(TRIM(B4))=0</formula>
    </cfRule>
  </conditionalFormatting>
  <conditionalFormatting sqref="B19">
    <cfRule type="containsBlanks" dxfId="491" priority="12">
      <formula>LEN(TRIM(B19))=0</formula>
    </cfRule>
  </conditionalFormatting>
  <conditionalFormatting sqref="B20:B48">
    <cfRule type="containsBlanks" dxfId="490" priority="10">
      <formula>LEN(TRIM(B20))=0</formula>
    </cfRule>
  </conditionalFormatting>
  <conditionalFormatting sqref="B2">
    <cfRule type="containsBlanks" dxfId="489" priority="9">
      <formula>LEN(TRIM(B2))=0</formula>
    </cfRule>
  </conditionalFormatting>
  <conditionalFormatting sqref="B8:D18">
    <cfRule type="containsBlanks" dxfId="488" priority="8">
      <formula>LEN(TRIM(B8))=0</formula>
    </cfRule>
  </conditionalFormatting>
  <conditionalFormatting sqref="E19:E48">
    <cfRule type="containsBlanks" dxfId="487" priority="7">
      <formula>LEN(TRIM(E19))=0</formula>
    </cfRule>
  </conditionalFormatting>
  <conditionalFormatting sqref="C50">
    <cfRule type="containsBlanks" dxfId="486" priority="4">
      <formula>LEN(TRIM(C50))=0</formula>
    </cfRule>
  </conditionalFormatting>
  <conditionalFormatting sqref="B50">
    <cfRule type="containsBlanks" dxfId="485" priority="2">
      <formula>LEN(TRIM(B50))=0</formula>
    </cfRule>
  </conditionalFormatting>
  <conditionalFormatting sqref="C5:C6">
    <cfRule type="containsBlanks" dxfId="484" priority="1">
      <formula>LEN(TRIM(C5))=0</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1:Y50"/>
  <sheetViews>
    <sheetView zoomScale="78" zoomScaleNormal="78" workbookViewId="0">
      <selection activeCell="J44" sqref="J44"/>
    </sheetView>
  </sheetViews>
  <sheetFormatPr baseColWidth="10" defaultColWidth="9.1328125" defaultRowHeight="14.25" x14ac:dyDescent="0.45"/>
  <cols>
    <col min="2" max="2" width="34.59765625" customWidth="1"/>
    <col min="15" max="15" width="32.86328125" customWidth="1"/>
    <col min="19" max="19" width="30.06640625" customWidth="1"/>
  </cols>
  <sheetData>
    <row r="1" spans="2:25" x14ac:dyDescent="0.45">
      <c r="N1" s="43"/>
      <c r="O1" s="43"/>
      <c r="P1" s="43"/>
      <c r="Q1" s="43"/>
      <c r="R1" s="43"/>
      <c r="S1" s="43"/>
      <c r="T1" s="43"/>
      <c r="U1" s="43"/>
      <c r="V1" s="43"/>
      <c r="W1" s="43"/>
      <c r="X1" s="43"/>
      <c r="Y1" s="43"/>
    </row>
    <row r="2" spans="2:25" x14ac:dyDescent="0.45">
      <c r="N2" s="43"/>
      <c r="O2" s="43"/>
      <c r="P2" s="43"/>
      <c r="Q2" s="43"/>
      <c r="R2" s="43"/>
      <c r="S2" s="43"/>
      <c r="T2" s="43"/>
      <c r="U2" s="43"/>
      <c r="V2" s="43"/>
      <c r="W2" s="43"/>
      <c r="X2" s="43"/>
      <c r="Y2" s="43"/>
    </row>
    <row r="3" spans="2:25" s="43" customFormat="1" ht="15.4" x14ac:dyDescent="0.45">
      <c r="B3" s="1" t="s">
        <v>147</v>
      </c>
      <c r="C3"/>
      <c r="O3" s="64" t="s">
        <v>141</v>
      </c>
      <c r="S3" s="64" t="s">
        <v>143</v>
      </c>
      <c r="V3" s="64" t="s">
        <v>147</v>
      </c>
      <c r="W3" s="64"/>
    </row>
    <row r="4" spans="2:25" s="43" customFormat="1" ht="14.65" thickBot="1" x14ac:dyDescent="0.5">
      <c r="B4"/>
      <c r="C4"/>
      <c r="V4" s="43" t="s">
        <v>148</v>
      </c>
    </row>
    <row r="5" spans="2:25" ht="15.4" x14ac:dyDescent="0.45">
      <c r="B5" s="2" t="s">
        <v>0</v>
      </c>
      <c r="C5" s="7"/>
      <c r="O5" s="2" t="s">
        <v>0</v>
      </c>
      <c r="P5" s="7"/>
      <c r="S5" s="2" t="s">
        <v>0</v>
      </c>
      <c r="T5" s="7"/>
      <c r="V5" s="1" t="s">
        <v>149</v>
      </c>
      <c r="W5" s="1"/>
      <c r="X5" s="64"/>
    </row>
    <row r="6" spans="2:25" x14ac:dyDescent="0.45">
      <c r="B6" s="3" t="s">
        <v>32</v>
      </c>
      <c r="C6" s="101">
        <f>Input!C59</f>
        <v>1</v>
      </c>
      <c r="O6" s="3"/>
      <c r="P6" s="8"/>
      <c r="S6" s="61"/>
      <c r="T6" s="62"/>
      <c r="V6" s="63"/>
      <c r="W6" s="63"/>
      <c r="X6" s="63"/>
    </row>
    <row r="7" spans="2:25" x14ac:dyDescent="0.45">
      <c r="B7" s="3" t="s">
        <v>30</v>
      </c>
      <c r="C7" s="101">
        <f>Input!C42</f>
        <v>70</v>
      </c>
      <c r="O7" s="3" t="s">
        <v>30</v>
      </c>
      <c r="P7" s="101">
        <f>Input!C42</f>
        <v>70</v>
      </c>
      <c r="S7" s="46" t="s">
        <v>30</v>
      </c>
      <c r="T7" s="105">
        <f>Input!C42</f>
        <v>70</v>
      </c>
    </row>
    <row r="8" spans="2:25" x14ac:dyDescent="0.45">
      <c r="B8" s="3" t="s">
        <v>31</v>
      </c>
      <c r="C8" s="101">
        <f>Input!C61</f>
        <v>1</v>
      </c>
      <c r="O8" s="3"/>
      <c r="P8" s="8"/>
      <c r="S8" s="61"/>
      <c r="T8" s="62"/>
    </row>
    <row r="9" spans="2:25" x14ac:dyDescent="0.45">
      <c r="B9" s="31" t="s">
        <v>2</v>
      </c>
      <c r="C9" s="103">
        <f>'Ableitung Optionspreise'!L27</f>
        <v>6.1273274075246036</v>
      </c>
      <c r="D9" s="5"/>
      <c r="O9" s="31" t="s">
        <v>2</v>
      </c>
      <c r="P9" s="103">
        <f>'Ableitung Optionspreise'!L27</f>
        <v>6.1273274075246036</v>
      </c>
      <c r="S9" s="61"/>
      <c r="T9" s="62"/>
    </row>
    <row r="10" spans="2:25" ht="14.65" thickBot="1" x14ac:dyDescent="0.5">
      <c r="B10" s="30" t="s">
        <v>3</v>
      </c>
      <c r="C10" s="104">
        <f>Input!C45</f>
        <v>72</v>
      </c>
      <c r="D10" s="5"/>
      <c r="O10" s="30" t="s">
        <v>156</v>
      </c>
      <c r="P10" s="104">
        <f>Input!C45</f>
        <v>72</v>
      </c>
      <c r="S10" s="31" t="s">
        <v>156</v>
      </c>
      <c r="T10" s="103">
        <f>Input!C45</f>
        <v>72</v>
      </c>
    </row>
    <row r="11" spans="2:25" x14ac:dyDescent="0.45">
      <c r="B11" s="43"/>
      <c r="C11" s="43"/>
      <c r="D11" s="5"/>
      <c r="O11" s="36"/>
      <c r="P11" s="36"/>
      <c r="S11" s="36"/>
      <c r="T11" s="36"/>
    </row>
    <row r="12" spans="2:25" x14ac:dyDescent="0.45">
      <c r="B12" s="43"/>
      <c r="C12" s="43"/>
      <c r="O12" s="43"/>
      <c r="P12" s="43"/>
      <c r="Q12" s="43"/>
      <c r="R12" s="43"/>
      <c r="S12" s="43"/>
      <c r="T12" s="43"/>
      <c r="U12" s="43"/>
      <c r="V12" s="43"/>
      <c r="W12" s="43"/>
      <c r="X12" s="43"/>
    </row>
    <row r="13" spans="2:25" x14ac:dyDescent="0.45">
      <c r="B13" s="43"/>
      <c r="C13" s="43"/>
      <c r="D13" s="9"/>
      <c r="O13" s="43"/>
      <c r="P13" s="43"/>
      <c r="Q13" s="43"/>
      <c r="R13" s="43"/>
      <c r="S13" s="43"/>
      <c r="T13" s="43"/>
      <c r="U13" s="43"/>
      <c r="V13" s="43"/>
      <c r="W13" s="43"/>
      <c r="X13" s="43"/>
    </row>
    <row r="14" spans="2:25" x14ac:dyDescent="0.45">
      <c r="B14" s="43"/>
      <c r="C14" s="43"/>
      <c r="D14" s="9"/>
      <c r="O14" s="43"/>
      <c r="P14" s="43"/>
      <c r="Q14" s="43"/>
      <c r="R14" s="43"/>
      <c r="S14" s="43"/>
      <c r="T14" s="43"/>
      <c r="U14" s="43"/>
      <c r="V14" s="43"/>
      <c r="W14" s="43"/>
      <c r="X14" s="43"/>
    </row>
    <row r="15" spans="2:25" x14ac:dyDescent="0.45">
      <c r="B15" s="43"/>
      <c r="C15" s="43"/>
      <c r="D15" s="9"/>
      <c r="O15" s="43"/>
      <c r="P15" s="43"/>
      <c r="Q15" s="43"/>
      <c r="R15" s="43"/>
      <c r="S15" s="43"/>
      <c r="T15" s="43"/>
      <c r="U15" s="43"/>
      <c r="V15" s="43"/>
      <c r="W15" s="43"/>
      <c r="X15" s="43"/>
    </row>
    <row r="16" spans="2:25" x14ac:dyDescent="0.45">
      <c r="B16" s="43"/>
      <c r="C16" s="43"/>
      <c r="D16" s="9"/>
      <c r="O16" s="43"/>
      <c r="P16" s="43"/>
      <c r="Q16" s="43"/>
      <c r="R16" s="43"/>
      <c r="S16" s="43"/>
      <c r="T16" s="43"/>
      <c r="U16" s="43"/>
      <c r="V16" s="43"/>
      <c r="W16" s="43"/>
      <c r="X16" s="43"/>
    </row>
    <row r="17" spans="2:24" x14ac:dyDescent="0.45">
      <c r="B17" s="43"/>
      <c r="C17" s="43"/>
      <c r="D17" s="9"/>
      <c r="O17" s="43"/>
      <c r="P17" s="43"/>
      <c r="Q17" s="43"/>
      <c r="R17" s="43"/>
      <c r="S17" s="43"/>
      <c r="T17" s="43"/>
      <c r="U17" s="43"/>
      <c r="V17" s="43"/>
      <c r="W17" s="43"/>
      <c r="X17" s="43"/>
    </row>
    <row r="18" spans="2:24" ht="14.65" thickBot="1" x14ac:dyDescent="0.5">
      <c r="B18" s="43"/>
      <c r="C18" s="43"/>
      <c r="D18" s="10"/>
      <c r="O18" s="43"/>
      <c r="P18" s="43"/>
      <c r="Q18" s="43"/>
      <c r="R18" s="43"/>
      <c r="S18" s="43"/>
      <c r="T18" s="43"/>
      <c r="U18" s="43"/>
      <c r="V18" s="43"/>
      <c r="W18" s="43"/>
      <c r="X18" s="43"/>
    </row>
    <row r="19" spans="2:24" x14ac:dyDescent="0.45">
      <c r="B19" s="32" t="s">
        <v>4</v>
      </c>
      <c r="C19" s="33" t="s">
        <v>19</v>
      </c>
      <c r="D19" s="10"/>
      <c r="O19" s="32" t="s">
        <v>4</v>
      </c>
      <c r="P19" s="33" t="s">
        <v>19</v>
      </c>
      <c r="Q19" s="43"/>
      <c r="R19" s="43"/>
      <c r="S19" s="32" t="s">
        <v>4</v>
      </c>
      <c r="T19" s="33" t="s">
        <v>19</v>
      </c>
      <c r="V19" s="189" t="s">
        <v>146</v>
      </c>
      <c r="W19" s="339" t="s">
        <v>19</v>
      </c>
    </row>
    <row r="20" spans="2:24" x14ac:dyDescent="0.45">
      <c r="B20" s="106">
        <f>Input!C5</f>
        <v>0</v>
      </c>
      <c r="C20" s="34">
        <f>SUM(((B20-$C$7)*$C$6),(IF(B20&gt;$C$10,$C$10-B20+$C$9,$C$9)*$C$8))</f>
        <v>-63.872672592475396</v>
      </c>
      <c r="D20" s="10"/>
      <c r="O20" s="106">
        <f>Input!C5</f>
        <v>0</v>
      </c>
      <c r="P20" s="34">
        <f t="shared" ref="P20:P48" si="0">IF(O20&gt;$P$10,$P$10-$O20+$P$9,$P$9)</f>
        <v>6.1273274075246036</v>
      </c>
      <c r="Q20" s="43"/>
      <c r="R20" s="43"/>
      <c r="S20" s="106">
        <f>Input!C5</f>
        <v>0</v>
      </c>
      <c r="T20" s="34">
        <f t="shared" ref="T20:T33" si="1">S20-$T$7</f>
        <v>-70</v>
      </c>
      <c r="V20" s="340">
        <f t="shared" ref="V20:V48" si="2">W20-C20</f>
        <v>0</v>
      </c>
      <c r="W20" s="34">
        <f t="shared" ref="W20:W48" si="3">T20+P20</f>
        <v>-63.872672592475396</v>
      </c>
    </row>
    <row r="21" spans="2:24" x14ac:dyDescent="0.45">
      <c r="B21" s="106">
        <f>Input!C6</f>
        <v>5</v>
      </c>
      <c r="C21" s="34">
        <f t="shared" ref="C21:C47" si="4">SUM(((B21-$C$7)*$C$6),(IF(B21&gt;$C$10,$C$10-B21+$C$9,$C$9)*$C$8))</f>
        <v>-58.872672592475396</v>
      </c>
      <c r="O21" s="106">
        <f>Input!C6</f>
        <v>5</v>
      </c>
      <c r="P21" s="34">
        <f t="shared" si="0"/>
        <v>6.1273274075246036</v>
      </c>
      <c r="Q21" s="43"/>
      <c r="R21" s="43"/>
      <c r="S21" s="106">
        <f>Input!C6</f>
        <v>5</v>
      </c>
      <c r="T21" s="34">
        <f t="shared" si="1"/>
        <v>-65</v>
      </c>
      <c r="V21" s="340">
        <f t="shared" si="2"/>
        <v>0</v>
      </c>
      <c r="W21" s="34">
        <f t="shared" si="3"/>
        <v>-58.872672592475396</v>
      </c>
    </row>
    <row r="22" spans="2:24" x14ac:dyDescent="0.45">
      <c r="B22" s="106">
        <f>Input!C7</f>
        <v>10</v>
      </c>
      <c r="C22" s="34">
        <f>SUM(((B22-$C$7)*$C$6),(IF(B22&gt;$C$10,$C$10-B22+$C$9,$C$9)*$C$8))</f>
        <v>-53.872672592475396</v>
      </c>
      <c r="O22" s="106">
        <f>Input!C7</f>
        <v>10</v>
      </c>
      <c r="P22" s="34">
        <f t="shared" si="0"/>
        <v>6.1273274075246036</v>
      </c>
      <c r="Q22" s="43"/>
      <c r="R22" s="43"/>
      <c r="S22" s="106">
        <f>Input!C7</f>
        <v>10</v>
      </c>
      <c r="T22" s="34">
        <f t="shared" si="1"/>
        <v>-60</v>
      </c>
      <c r="V22" s="340">
        <f t="shared" si="2"/>
        <v>0</v>
      </c>
      <c r="W22" s="34">
        <f t="shared" si="3"/>
        <v>-53.872672592475396</v>
      </c>
    </row>
    <row r="23" spans="2:24" x14ac:dyDescent="0.45">
      <c r="B23" s="106">
        <f>Input!C8</f>
        <v>15</v>
      </c>
      <c r="C23" s="34">
        <f t="shared" si="4"/>
        <v>-48.872672592475396</v>
      </c>
      <c r="O23" s="106">
        <f>Input!C8</f>
        <v>15</v>
      </c>
      <c r="P23" s="34">
        <f t="shared" si="0"/>
        <v>6.1273274075246036</v>
      </c>
      <c r="Q23" s="43"/>
      <c r="R23" s="43"/>
      <c r="S23" s="106">
        <f>Input!C8</f>
        <v>15</v>
      </c>
      <c r="T23" s="34">
        <f t="shared" si="1"/>
        <v>-55</v>
      </c>
      <c r="V23" s="340">
        <f t="shared" si="2"/>
        <v>0</v>
      </c>
      <c r="W23" s="34">
        <f t="shared" si="3"/>
        <v>-48.872672592475396</v>
      </c>
    </row>
    <row r="24" spans="2:24" x14ac:dyDescent="0.45">
      <c r="B24" s="106">
        <f>Input!C9</f>
        <v>20</v>
      </c>
      <c r="C24" s="34">
        <f t="shared" si="4"/>
        <v>-43.872672592475396</v>
      </c>
      <c r="O24" s="106">
        <f>Input!C9</f>
        <v>20</v>
      </c>
      <c r="P24" s="34">
        <f t="shared" si="0"/>
        <v>6.1273274075246036</v>
      </c>
      <c r="Q24" s="43"/>
      <c r="R24" s="43"/>
      <c r="S24" s="106">
        <f>Input!C9</f>
        <v>20</v>
      </c>
      <c r="T24" s="34">
        <f t="shared" si="1"/>
        <v>-50</v>
      </c>
      <c r="V24" s="340">
        <f t="shared" si="2"/>
        <v>0</v>
      </c>
      <c r="W24" s="34">
        <f t="shared" si="3"/>
        <v>-43.872672592475396</v>
      </c>
    </row>
    <row r="25" spans="2:24" x14ac:dyDescent="0.45">
      <c r="B25" s="106">
        <f>Input!C10</f>
        <v>25</v>
      </c>
      <c r="C25" s="34">
        <f t="shared" si="4"/>
        <v>-38.872672592475396</v>
      </c>
      <c r="O25" s="106">
        <f>Input!C10</f>
        <v>25</v>
      </c>
      <c r="P25" s="34">
        <f t="shared" si="0"/>
        <v>6.1273274075246036</v>
      </c>
      <c r="Q25" s="43"/>
      <c r="R25" s="43"/>
      <c r="S25" s="106">
        <f>Input!C10</f>
        <v>25</v>
      </c>
      <c r="T25" s="34">
        <f t="shared" si="1"/>
        <v>-45</v>
      </c>
      <c r="V25" s="340">
        <f t="shared" si="2"/>
        <v>0</v>
      </c>
      <c r="W25" s="34">
        <f t="shared" si="3"/>
        <v>-38.872672592475396</v>
      </c>
    </row>
    <row r="26" spans="2:24" x14ac:dyDescent="0.45">
      <c r="B26" s="106">
        <f>Input!C11</f>
        <v>30</v>
      </c>
      <c r="C26" s="34">
        <f t="shared" si="4"/>
        <v>-33.872672592475396</v>
      </c>
      <c r="O26" s="106">
        <f>Input!C11</f>
        <v>30</v>
      </c>
      <c r="P26" s="34">
        <f t="shared" si="0"/>
        <v>6.1273274075246036</v>
      </c>
      <c r="Q26" s="43"/>
      <c r="R26" s="43"/>
      <c r="S26" s="106">
        <f>Input!C11</f>
        <v>30</v>
      </c>
      <c r="T26" s="34">
        <f t="shared" si="1"/>
        <v>-40</v>
      </c>
      <c r="V26" s="340">
        <f t="shared" si="2"/>
        <v>0</v>
      </c>
      <c r="W26" s="34">
        <f t="shared" si="3"/>
        <v>-33.872672592475396</v>
      </c>
    </row>
    <row r="27" spans="2:24" x14ac:dyDescent="0.45">
      <c r="B27" s="106">
        <f>Input!C12</f>
        <v>35</v>
      </c>
      <c r="C27" s="34">
        <f t="shared" si="4"/>
        <v>-28.872672592475396</v>
      </c>
      <c r="O27" s="106">
        <f>Input!C12</f>
        <v>35</v>
      </c>
      <c r="P27" s="34">
        <f t="shared" si="0"/>
        <v>6.1273274075246036</v>
      </c>
      <c r="Q27" s="43"/>
      <c r="R27" s="43"/>
      <c r="S27" s="106">
        <f>Input!C12</f>
        <v>35</v>
      </c>
      <c r="T27" s="34">
        <f t="shared" si="1"/>
        <v>-35</v>
      </c>
      <c r="V27" s="340">
        <f t="shared" si="2"/>
        <v>0</v>
      </c>
      <c r="W27" s="34">
        <f t="shared" si="3"/>
        <v>-28.872672592475396</v>
      </c>
    </row>
    <row r="28" spans="2:24" x14ac:dyDescent="0.45">
      <c r="B28" s="106">
        <f>Input!C13</f>
        <v>40</v>
      </c>
      <c r="C28" s="34">
        <f t="shared" si="4"/>
        <v>-23.872672592475396</v>
      </c>
      <c r="O28" s="106">
        <f>Input!C13</f>
        <v>40</v>
      </c>
      <c r="P28" s="34">
        <f t="shared" si="0"/>
        <v>6.1273274075246036</v>
      </c>
      <c r="Q28" s="43"/>
      <c r="R28" s="43"/>
      <c r="S28" s="106">
        <f>Input!C13</f>
        <v>40</v>
      </c>
      <c r="T28" s="34">
        <f t="shared" si="1"/>
        <v>-30</v>
      </c>
      <c r="V28" s="340">
        <f t="shared" si="2"/>
        <v>0</v>
      </c>
      <c r="W28" s="34">
        <f t="shared" si="3"/>
        <v>-23.872672592475396</v>
      </c>
    </row>
    <row r="29" spans="2:24" x14ac:dyDescent="0.45">
      <c r="B29" s="106">
        <f>Input!C14</f>
        <v>45</v>
      </c>
      <c r="C29" s="34">
        <f t="shared" si="4"/>
        <v>-18.872672592475396</v>
      </c>
      <c r="O29" s="106">
        <f>Input!C14</f>
        <v>45</v>
      </c>
      <c r="P29" s="34">
        <f t="shared" si="0"/>
        <v>6.1273274075246036</v>
      </c>
      <c r="Q29" s="43"/>
      <c r="R29" s="43"/>
      <c r="S29" s="106">
        <f>Input!C14</f>
        <v>45</v>
      </c>
      <c r="T29" s="34">
        <f t="shared" si="1"/>
        <v>-25</v>
      </c>
      <c r="V29" s="340">
        <f t="shared" si="2"/>
        <v>0</v>
      </c>
      <c r="W29" s="34">
        <f t="shared" si="3"/>
        <v>-18.872672592475396</v>
      </c>
    </row>
    <row r="30" spans="2:24" x14ac:dyDescent="0.45">
      <c r="B30" s="106">
        <f>Input!C15</f>
        <v>50</v>
      </c>
      <c r="C30" s="34">
        <f t="shared" si="4"/>
        <v>-13.872672592475396</v>
      </c>
      <c r="O30" s="106">
        <f>Input!C15</f>
        <v>50</v>
      </c>
      <c r="P30" s="34">
        <f t="shared" si="0"/>
        <v>6.1273274075246036</v>
      </c>
      <c r="Q30" s="43"/>
      <c r="R30" s="43"/>
      <c r="S30" s="106">
        <f>Input!C15</f>
        <v>50</v>
      </c>
      <c r="T30" s="34">
        <f t="shared" si="1"/>
        <v>-20</v>
      </c>
      <c r="V30" s="340">
        <f t="shared" si="2"/>
        <v>0</v>
      </c>
      <c r="W30" s="34">
        <f t="shared" si="3"/>
        <v>-13.872672592475396</v>
      </c>
    </row>
    <row r="31" spans="2:24" x14ac:dyDescent="0.45">
      <c r="B31" s="106">
        <f>Input!C16</f>
        <v>55</v>
      </c>
      <c r="C31" s="34">
        <f>SUM(((B31-$C$7)*$C$6),(IF(B31&gt;$C$10,$C$10-B31+$C$9,$C$9)*$C$8))</f>
        <v>-8.8726725924753964</v>
      </c>
      <c r="O31" s="106">
        <f>Input!C16</f>
        <v>55</v>
      </c>
      <c r="P31" s="34">
        <f t="shared" si="0"/>
        <v>6.1273274075246036</v>
      </c>
      <c r="Q31" s="43"/>
      <c r="R31" s="43"/>
      <c r="S31" s="106">
        <f>Input!C16</f>
        <v>55</v>
      </c>
      <c r="T31" s="34">
        <f t="shared" si="1"/>
        <v>-15</v>
      </c>
      <c r="V31" s="340">
        <f t="shared" si="2"/>
        <v>0</v>
      </c>
      <c r="W31" s="34">
        <f t="shared" si="3"/>
        <v>-8.8726725924753964</v>
      </c>
    </row>
    <row r="32" spans="2:24" x14ac:dyDescent="0.45">
      <c r="B32" s="106">
        <f>Input!C17</f>
        <v>60</v>
      </c>
      <c r="C32" s="34">
        <f t="shared" si="4"/>
        <v>-3.8726725924753964</v>
      </c>
      <c r="O32" s="106">
        <f>Input!C17</f>
        <v>60</v>
      </c>
      <c r="P32" s="34">
        <f t="shared" si="0"/>
        <v>6.1273274075246036</v>
      </c>
      <c r="Q32" s="43"/>
      <c r="R32" s="43"/>
      <c r="S32" s="106">
        <f>Input!C17</f>
        <v>60</v>
      </c>
      <c r="T32" s="34">
        <f t="shared" si="1"/>
        <v>-10</v>
      </c>
      <c r="V32" s="340">
        <f t="shared" si="2"/>
        <v>0</v>
      </c>
      <c r="W32" s="34">
        <f t="shared" si="3"/>
        <v>-3.8726725924753964</v>
      </c>
    </row>
    <row r="33" spans="2:23" x14ac:dyDescent="0.45">
      <c r="B33" s="106">
        <f>Input!C18</f>
        <v>65</v>
      </c>
      <c r="C33" s="34">
        <f t="shared" si="4"/>
        <v>1.1273274075246036</v>
      </c>
      <c r="O33" s="106">
        <f>Input!C18</f>
        <v>65</v>
      </c>
      <c r="P33" s="34">
        <f t="shared" si="0"/>
        <v>6.1273274075246036</v>
      </c>
      <c r="Q33" s="43"/>
      <c r="R33" s="43"/>
      <c r="S33" s="106">
        <f>Input!C18</f>
        <v>65</v>
      </c>
      <c r="T33" s="34">
        <f t="shared" si="1"/>
        <v>-5</v>
      </c>
      <c r="V33" s="340">
        <f t="shared" si="2"/>
        <v>0</v>
      </c>
      <c r="W33" s="34">
        <f t="shared" si="3"/>
        <v>1.1273274075246036</v>
      </c>
    </row>
    <row r="34" spans="2:23" x14ac:dyDescent="0.45">
      <c r="B34" s="106">
        <f>Input!C19</f>
        <v>70</v>
      </c>
      <c r="C34" s="34">
        <f t="shared" si="4"/>
        <v>6.1273274075246036</v>
      </c>
      <c r="O34" s="106">
        <f>Input!C19</f>
        <v>70</v>
      </c>
      <c r="P34" s="34">
        <f t="shared" si="0"/>
        <v>6.1273274075246036</v>
      </c>
      <c r="Q34" s="43"/>
      <c r="R34" s="43"/>
      <c r="S34" s="106">
        <f>Input!C19</f>
        <v>70</v>
      </c>
      <c r="T34" s="34">
        <f>S34-$T$7</f>
        <v>0</v>
      </c>
      <c r="V34" s="340">
        <f t="shared" si="2"/>
        <v>0</v>
      </c>
      <c r="W34" s="34">
        <f t="shared" si="3"/>
        <v>6.1273274075246036</v>
      </c>
    </row>
    <row r="35" spans="2:23" x14ac:dyDescent="0.45">
      <c r="B35" s="106">
        <f>Input!C20</f>
        <v>75</v>
      </c>
      <c r="C35" s="34">
        <f>SUM(((B35-$C$7)*$C$6),(IF(B35&gt;$C$10,$C$10-B35+$C$9,$C$9)*$C$8))</f>
        <v>8.1273274075246036</v>
      </c>
      <c r="O35" s="106">
        <f>Input!C20</f>
        <v>75</v>
      </c>
      <c r="P35" s="34">
        <f t="shared" si="0"/>
        <v>3.1273274075246036</v>
      </c>
      <c r="Q35" s="43"/>
      <c r="R35" s="43"/>
      <c r="S35" s="106">
        <f>Input!C20</f>
        <v>75</v>
      </c>
      <c r="T35" s="34">
        <f t="shared" ref="T35:T48" si="5">S35-$T$7</f>
        <v>5</v>
      </c>
      <c r="V35" s="340">
        <f t="shared" si="2"/>
        <v>0</v>
      </c>
      <c r="W35" s="34">
        <f t="shared" si="3"/>
        <v>8.1273274075246036</v>
      </c>
    </row>
    <row r="36" spans="2:23" x14ac:dyDescent="0.45">
      <c r="B36" s="106">
        <f>Input!C21</f>
        <v>80</v>
      </c>
      <c r="C36" s="34">
        <f t="shared" si="4"/>
        <v>8.1273274075246036</v>
      </c>
      <c r="O36" s="106">
        <f>Input!C21</f>
        <v>80</v>
      </c>
      <c r="P36" s="34">
        <f t="shared" si="0"/>
        <v>-1.8726725924753964</v>
      </c>
      <c r="Q36" s="43"/>
      <c r="R36" s="43"/>
      <c r="S36" s="106">
        <f>Input!C21</f>
        <v>80</v>
      </c>
      <c r="T36" s="34">
        <f t="shared" si="5"/>
        <v>10</v>
      </c>
      <c r="V36" s="340">
        <f t="shared" si="2"/>
        <v>0</v>
      </c>
      <c r="W36" s="34">
        <f t="shared" si="3"/>
        <v>8.1273274075246036</v>
      </c>
    </row>
    <row r="37" spans="2:23" x14ac:dyDescent="0.45">
      <c r="B37" s="106">
        <f>Input!C22</f>
        <v>85</v>
      </c>
      <c r="C37" s="34">
        <f t="shared" si="4"/>
        <v>8.1273274075246036</v>
      </c>
      <c r="O37" s="106">
        <f>Input!C22</f>
        <v>85</v>
      </c>
      <c r="P37" s="34">
        <f t="shared" si="0"/>
        <v>-6.8726725924753964</v>
      </c>
      <c r="Q37" s="43"/>
      <c r="R37" s="43"/>
      <c r="S37" s="106">
        <f>Input!C22</f>
        <v>85</v>
      </c>
      <c r="T37" s="34">
        <f t="shared" si="5"/>
        <v>15</v>
      </c>
      <c r="V37" s="340">
        <f t="shared" si="2"/>
        <v>0</v>
      </c>
      <c r="W37" s="34">
        <f t="shared" si="3"/>
        <v>8.1273274075246036</v>
      </c>
    </row>
    <row r="38" spans="2:23" x14ac:dyDescent="0.45">
      <c r="B38" s="106">
        <f>Input!C23</f>
        <v>90</v>
      </c>
      <c r="C38" s="34">
        <f t="shared" si="4"/>
        <v>8.1273274075246036</v>
      </c>
      <c r="O38" s="106">
        <f>Input!C23</f>
        <v>90</v>
      </c>
      <c r="P38" s="34">
        <f t="shared" si="0"/>
        <v>-11.872672592475396</v>
      </c>
      <c r="Q38" s="43"/>
      <c r="R38" s="43"/>
      <c r="S38" s="106">
        <f>Input!C23</f>
        <v>90</v>
      </c>
      <c r="T38" s="34">
        <f t="shared" si="5"/>
        <v>20</v>
      </c>
      <c r="V38" s="340">
        <f t="shared" si="2"/>
        <v>0</v>
      </c>
      <c r="W38" s="34">
        <f t="shared" si="3"/>
        <v>8.1273274075246036</v>
      </c>
    </row>
    <row r="39" spans="2:23" x14ac:dyDescent="0.45">
      <c r="B39" s="106">
        <f>Input!C24</f>
        <v>95</v>
      </c>
      <c r="C39" s="34">
        <f t="shared" si="4"/>
        <v>8.1273274075246036</v>
      </c>
      <c r="O39" s="106">
        <f>Input!C24</f>
        <v>95</v>
      </c>
      <c r="P39" s="34">
        <f t="shared" si="0"/>
        <v>-16.872672592475396</v>
      </c>
      <c r="Q39" s="43"/>
      <c r="R39" s="43"/>
      <c r="S39" s="106">
        <f>Input!C24</f>
        <v>95</v>
      </c>
      <c r="T39" s="34">
        <f t="shared" si="5"/>
        <v>25</v>
      </c>
      <c r="V39" s="340">
        <f t="shared" si="2"/>
        <v>0</v>
      </c>
      <c r="W39" s="34">
        <f t="shared" si="3"/>
        <v>8.1273274075246036</v>
      </c>
    </row>
    <row r="40" spans="2:23" x14ac:dyDescent="0.45">
      <c r="B40" s="106">
        <f>Input!C25</f>
        <v>100</v>
      </c>
      <c r="C40" s="34">
        <f t="shared" si="4"/>
        <v>8.1273274075246036</v>
      </c>
      <c r="O40" s="106">
        <f>Input!C25</f>
        <v>100</v>
      </c>
      <c r="P40" s="34">
        <f t="shared" si="0"/>
        <v>-21.872672592475396</v>
      </c>
      <c r="Q40" s="43"/>
      <c r="R40" s="43"/>
      <c r="S40" s="106">
        <f>Input!C25</f>
        <v>100</v>
      </c>
      <c r="T40" s="34">
        <f t="shared" si="5"/>
        <v>30</v>
      </c>
      <c r="V40" s="340">
        <f t="shared" si="2"/>
        <v>0</v>
      </c>
      <c r="W40" s="34">
        <f t="shared" si="3"/>
        <v>8.1273274075246036</v>
      </c>
    </row>
    <row r="41" spans="2:23" x14ac:dyDescent="0.45">
      <c r="B41" s="106">
        <f>Input!C26</f>
        <v>105</v>
      </c>
      <c r="C41" s="34">
        <f t="shared" si="4"/>
        <v>8.1273274075246036</v>
      </c>
      <c r="O41" s="106">
        <f>Input!C26</f>
        <v>105</v>
      </c>
      <c r="P41" s="34">
        <f t="shared" si="0"/>
        <v>-26.872672592475396</v>
      </c>
      <c r="Q41" s="43"/>
      <c r="R41" s="43"/>
      <c r="S41" s="106">
        <f>Input!C26</f>
        <v>105</v>
      </c>
      <c r="T41" s="34">
        <f t="shared" si="5"/>
        <v>35</v>
      </c>
      <c r="V41" s="340">
        <f t="shared" si="2"/>
        <v>0</v>
      </c>
      <c r="W41" s="34">
        <f t="shared" si="3"/>
        <v>8.1273274075246036</v>
      </c>
    </row>
    <row r="42" spans="2:23" x14ac:dyDescent="0.45">
      <c r="B42" s="106">
        <f>Input!C27</f>
        <v>110</v>
      </c>
      <c r="C42" s="34">
        <f t="shared" si="4"/>
        <v>8.1273274075246036</v>
      </c>
      <c r="O42" s="106">
        <f>Input!C27</f>
        <v>110</v>
      </c>
      <c r="P42" s="34">
        <f t="shared" si="0"/>
        <v>-31.872672592475396</v>
      </c>
      <c r="Q42" s="43"/>
      <c r="R42" s="43"/>
      <c r="S42" s="106">
        <f>Input!C27</f>
        <v>110</v>
      </c>
      <c r="T42" s="34">
        <f t="shared" si="5"/>
        <v>40</v>
      </c>
      <c r="V42" s="340">
        <f t="shared" si="2"/>
        <v>0</v>
      </c>
      <c r="W42" s="34">
        <f t="shared" si="3"/>
        <v>8.1273274075246036</v>
      </c>
    </row>
    <row r="43" spans="2:23" x14ac:dyDescent="0.45">
      <c r="B43" s="106">
        <f>Input!C28</f>
        <v>115</v>
      </c>
      <c r="C43" s="34">
        <f t="shared" si="4"/>
        <v>8.1273274075246036</v>
      </c>
      <c r="O43" s="106">
        <f>Input!C28</f>
        <v>115</v>
      </c>
      <c r="P43" s="34">
        <f t="shared" si="0"/>
        <v>-36.872672592475396</v>
      </c>
      <c r="Q43" s="43"/>
      <c r="R43" s="43"/>
      <c r="S43" s="106">
        <f>Input!C28</f>
        <v>115</v>
      </c>
      <c r="T43" s="34">
        <f t="shared" si="5"/>
        <v>45</v>
      </c>
      <c r="V43" s="340">
        <f t="shared" si="2"/>
        <v>0</v>
      </c>
      <c r="W43" s="34">
        <f t="shared" si="3"/>
        <v>8.1273274075246036</v>
      </c>
    </row>
    <row r="44" spans="2:23" x14ac:dyDescent="0.45">
      <c r="B44" s="106">
        <f>Input!C29</f>
        <v>120</v>
      </c>
      <c r="C44" s="34">
        <f t="shared" si="4"/>
        <v>8.1273274075246036</v>
      </c>
      <c r="O44" s="106">
        <f>Input!C29</f>
        <v>120</v>
      </c>
      <c r="P44" s="34">
        <f t="shared" si="0"/>
        <v>-41.872672592475396</v>
      </c>
      <c r="Q44" s="43"/>
      <c r="R44" s="43"/>
      <c r="S44" s="106">
        <f>Input!C29</f>
        <v>120</v>
      </c>
      <c r="T44" s="34">
        <f t="shared" si="5"/>
        <v>50</v>
      </c>
      <c r="V44" s="340">
        <f t="shared" si="2"/>
        <v>0</v>
      </c>
      <c r="W44" s="34">
        <f t="shared" si="3"/>
        <v>8.1273274075246036</v>
      </c>
    </row>
    <row r="45" spans="2:23" x14ac:dyDescent="0.45">
      <c r="B45" s="106">
        <f>Input!C30</f>
        <v>125</v>
      </c>
      <c r="C45" s="34">
        <f>SUM(((B45-$C$7)*$C$6),(IF(B45&gt;$C$10,$C$10-B45+$C$9,$C$9)*$C$8))</f>
        <v>8.1273274075246036</v>
      </c>
      <c r="O45" s="106">
        <f>Input!C30</f>
        <v>125</v>
      </c>
      <c r="P45" s="34">
        <f t="shared" si="0"/>
        <v>-46.872672592475396</v>
      </c>
      <c r="Q45" s="43"/>
      <c r="R45" s="43"/>
      <c r="S45" s="106">
        <f>Input!C30</f>
        <v>125</v>
      </c>
      <c r="T45" s="34">
        <f t="shared" si="5"/>
        <v>55</v>
      </c>
      <c r="V45" s="340">
        <f t="shared" si="2"/>
        <v>0</v>
      </c>
      <c r="W45" s="34">
        <f t="shared" si="3"/>
        <v>8.1273274075246036</v>
      </c>
    </row>
    <row r="46" spans="2:23" x14ac:dyDescent="0.45">
      <c r="B46" s="106">
        <f>Input!C31</f>
        <v>130</v>
      </c>
      <c r="C46" s="34">
        <f t="shared" si="4"/>
        <v>8.1273274075246036</v>
      </c>
      <c r="O46" s="106">
        <f>Input!C31</f>
        <v>130</v>
      </c>
      <c r="P46" s="34">
        <f t="shared" si="0"/>
        <v>-51.872672592475396</v>
      </c>
      <c r="Q46" s="43"/>
      <c r="R46" s="43"/>
      <c r="S46" s="106">
        <f>Input!C31</f>
        <v>130</v>
      </c>
      <c r="T46" s="34">
        <f t="shared" si="5"/>
        <v>60</v>
      </c>
      <c r="V46" s="340">
        <f t="shared" si="2"/>
        <v>0</v>
      </c>
      <c r="W46" s="34">
        <f t="shared" si="3"/>
        <v>8.1273274075246036</v>
      </c>
    </row>
    <row r="47" spans="2:23" x14ac:dyDescent="0.45">
      <c r="B47" s="106">
        <f>Input!C32</f>
        <v>135</v>
      </c>
      <c r="C47" s="34">
        <f t="shared" si="4"/>
        <v>8.1273274075246036</v>
      </c>
      <c r="O47" s="106">
        <f>Input!C32</f>
        <v>135</v>
      </c>
      <c r="P47" s="34">
        <f t="shared" si="0"/>
        <v>-56.872672592475396</v>
      </c>
      <c r="Q47" s="43"/>
      <c r="R47" s="43"/>
      <c r="S47" s="106">
        <f>Input!C32</f>
        <v>135</v>
      </c>
      <c r="T47" s="34">
        <f t="shared" si="5"/>
        <v>65</v>
      </c>
      <c r="V47" s="340">
        <f t="shared" si="2"/>
        <v>0</v>
      </c>
      <c r="W47" s="34">
        <f t="shared" si="3"/>
        <v>8.1273274075246036</v>
      </c>
    </row>
    <row r="48" spans="2:23" ht="14.65" thickBot="1" x14ac:dyDescent="0.5">
      <c r="B48" s="108">
        <f>Input!C33</f>
        <v>140</v>
      </c>
      <c r="C48" s="35">
        <f>SUM(((B48-$C$7)*$C$6),(IF(B48&gt;$C$10,$C$10-B48+$C$9,$C$9)*$C$8))</f>
        <v>8.1273274075246036</v>
      </c>
      <c r="O48" s="108">
        <f>Input!C33</f>
        <v>140</v>
      </c>
      <c r="P48" s="35">
        <f t="shared" si="0"/>
        <v>-61.872672592475396</v>
      </c>
      <c r="Q48" s="43"/>
      <c r="R48" s="43"/>
      <c r="S48" s="108">
        <f>Input!C33</f>
        <v>140</v>
      </c>
      <c r="T48" s="35">
        <f t="shared" si="5"/>
        <v>70</v>
      </c>
      <c r="V48" s="341">
        <f t="shared" si="2"/>
        <v>0</v>
      </c>
      <c r="W48" s="35">
        <f t="shared" si="3"/>
        <v>8.1273274075246036</v>
      </c>
    </row>
    <row r="49" spans="2:3" ht="14.65" thickBot="1" x14ac:dyDescent="0.5"/>
    <row r="50" spans="2:3" ht="14.65" thickBot="1" x14ac:dyDescent="0.5">
      <c r="B50" s="52" t="s">
        <v>262</v>
      </c>
      <c r="C50" s="231">
        <f>C9</f>
        <v>6.1273274075246036</v>
      </c>
    </row>
  </sheetData>
  <conditionalFormatting sqref="A44:XFD49 A5:B5 Q5:R12 U12:U41 W19 A42:W43 Y12:XFD43 U6:XFD11 U5 X5 A1:A4 D2:N2 P2:R2 T2:U2 D3:U3 Y2:XFD5 V3:X4 D12:N41 A6:P10 S11:T11 A11:A41 D11:P11 D1:XFD1 D4:N5 B19:C48 O19:P48 S19:T48 V20:W48 A51:XFD1048576 A50 D50:XFD50">
    <cfRule type="containsBlanks" dxfId="483" priority="29">
      <formula>LEN(TRIM(A1))=0</formula>
    </cfRule>
  </conditionalFormatting>
  <conditionalFormatting sqref="O5">
    <cfRule type="containsBlanks" dxfId="482" priority="28">
      <formula>LEN(TRIM(O5))=0</formula>
    </cfRule>
  </conditionalFormatting>
  <conditionalFormatting sqref="S7:T7">
    <cfRule type="containsBlanks" dxfId="481" priority="27">
      <formula>LEN(TRIM(S7))=0</formula>
    </cfRule>
  </conditionalFormatting>
  <conditionalFormatting sqref="W19">
    <cfRule type="containsBlanks" dxfId="480" priority="26">
      <formula>LEN(TRIM(W19))=0</formula>
    </cfRule>
  </conditionalFormatting>
  <conditionalFormatting sqref="V19">
    <cfRule type="containsBlanks" dxfId="479" priority="25">
      <formula>LEN(TRIM(V19))=0</formula>
    </cfRule>
  </conditionalFormatting>
  <conditionalFormatting sqref="X12:X43">
    <cfRule type="containsBlanks" dxfId="478" priority="18">
      <formula>LEN(TRIM(X12))=0</formula>
    </cfRule>
  </conditionalFormatting>
  <conditionalFormatting sqref="S6:T6">
    <cfRule type="containsBlanks" dxfId="477" priority="16">
      <formula>LEN(TRIM(S6))=0</formula>
    </cfRule>
  </conditionalFormatting>
  <conditionalFormatting sqref="W20:W48">
    <cfRule type="containsBlanks" dxfId="476" priority="19">
      <formula>LEN(TRIM(W20))=0</formula>
    </cfRule>
  </conditionalFormatting>
  <conditionalFormatting sqref="S8:T9">
    <cfRule type="containsBlanks" dxfId="475" priority="17">
      <formula>LEN(TRIM(S8))=0</formula>
    </cfRule>
  </conditionalFormatting>
  <conditionalFormatting sqref="V5:W5">
    <cfRule type="containsBlanks" dxfId="474" priority="11">
      <formula>LEN(TRIM(V5))=0</formula>
    </cfRule>
  </conditionalFormatting>
  <conditionalFormatting sqref="S10:T10">
    <cfRule type="containsBlanks" dxfId="473" priority="10">
      <formula>LEN(TRIM(S10))=0</formula>
    </cfRule>
  </conditionalFormatting>
  <conditionalFormatting sqref="S5">
    <cfRule type="containsBlanks" dxfId="472" priority="9">
      <formula>LEN(TRIM(S5))=0</formula>
    </cfRule>
  </conditionalFormatting>
  <conditionalFormatting sqref="B11:C18">
    <cfRule type="containsBlanks" dxfId="471" priority="8">
      <formula>LEN(TRIM(B11))=0</formula>
    </cfRule>
  </conditionalFormatting>
  <conditionalFormatting sqref="B1:C2 B4:C4 C3">
    <cfRule type="containsBlanks" dxfId="470" priority="7">
      <formula>LEN(TRIM(B1))=0</formula>
    </cfRule>
  </conditionalFormatting>
  <conditionalFormatting sqref="B3">
    <cfRule type="containsBlanks" dxfId="469" priority="5">
      <formula>LEN(TRIM(B3))=0</formula>
    </cfRule>
  </conditionalFormatting>
  <conditionalFormatting sqref="C50">
    <cfRule type="containsBlanks" dxfId="468" priority="2">
      <formula>LEN(TRIM(C50))=0</formula>
    </cfRule>
  </conditionalFormatting>
  <conditionalFormatting sqref="B50">
    <cfRule type="containsBlanks" dxfId="467" priority="1">
      <formula>LEN(TRIM(B50))=0</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B3:AD50"/>
  <sheetViews>
    <sheetView zoomScale="69" zoomScaleNormal="69" workbookViewId="0">
      <selection activeCell="Q50" sqref="Q50"/>
    </sheetView>
  </sheetViews>
  <sheetFormatPr baseColWidth="10" defaultColWidth="9.1328125" defaultRowHeight="14.25" x14ac:dyDescent="0.45"/>
  <cols>
    <col min="2" max="2" width="27.3984375" bestFit="1" customWidth="1"/>
    <col min="15" max="15" width="28.265625" customWidth="1"/>
    <col min="18" max="18" width="26.46484375" bestFit="1" customWidth="1"/>
    <col min="24" max="24" width="26.1328125" customWidth="1"/>
    <col min="27" max="27" width="13.46484375" customWidth="1"/>
    <col min="28" max="28" width="13.86328125" customWidth="1"/>
  </cols>
  <sheetData>
    <row r="3" spans="2:27" ht="15.4" x14ac:dyDescent="0.45">
      <c r="B3" s="1" t="s">
        <v>110</v>
      </c>
      <c r="O3" s="1" t="s">
        <v>21</v>
      </c>
      <c r="R3" s="1" t="s">
        <v>143</v>
      </c>
      <c r="U3" s="1" t="s">
        <v>110</v>
      </c>
      <c r="V3" s="1"/>
      <c r="W3" s="1"/>
      <c r="X3" s="1" t="s">
        <v>140</v>
      </c>
      <c r="AA3" s="1" t="s">
        <v>110</v>
      </c>
    </row>
    <row r="4" spans="2:27" ht="14.65" thickBot="1" x14ac:dyDescent="0.5">
      <c r="U4" s="43" t="s">
        <v>148</v>
      </c>
      <c r="V4" s="43"/>
      <c r="W4" s="43"/>
      <c r="AA4" s="43" t="s">
        <v>148</v>
      </c>
    </row>
    <row r="5" spans="2:27" ht="15.4" x14ac:dyDescent="0.45">
      <c r="B5" s="2" t="s">
        <v>0</v>
      </c>
      <c r="C5" s="7"/>
      <c r="O5" s="2" t="s">
        <v>0</v>
      </c>
      <c r="P5" s="7"/>
      <c r="R5" s="59" t="s">
        <v>0</v>
      </c>
      <c r="S5" s="60"/>
      <c r="U5" s="1" t="s">
        <v>157</v>
      </c>
      <c r="V5" s="1"/>
      <c r="W5" s="1"/>
      <c r="X5" s="2" t="s">
        <v>0</v>
      </c>
      <c r="Y5" s="7"/>
      <c r="AA5" s="1" t="s">
        <v>140</v>
      </c>
    </row>
    <row r="6" spans="2:27" x14ac:dyDescent="0.45">
      <c r="B6" s="3" t="s">
        <v>32</v>
      </c>
      <c r="C6" s="101">
        <f>Input!C59</f>
        <v>1</v>
      </c>
      <c r="O6" s="3" t="s">
        <v>32</v>
      </c>
      <c r="P6" s="8"/>
      <c r="R6" s="46"/>
      <c r="S6" s="47"/>
      <c r="X6" s="3"/>
      <c r="Y6" s="8"/>
    </row>
    <row r="7" spans="2:27" x14ac:dyDescent="0.45">
      <c r="B7" s="3" t="s">
        <v>30</v>
      </c>
      <c r="C7" s="101">
        <f>Input!C42</f>
        <v>70</v>
      </c>
      <c r="O7" s="3" t="s">
        <v>30</v>
      </c>
      <c r="P7" s="101">
        <f>Input!C42</f>
        <v>70</v>
      </c>
      <c r="R7" s="48" t="s">
        <v>30</v>
      </c>
      <c r="S7" s="107">
        <f>Input!C42</f>
        <v>70</v>
      </c>
      <c r="X7" s="3" t="s">
        <v>30</v>
      </c>
      <c r="Y7" s="101">
        <f>Input!C42</f>
        <v>70</v>
      </c>
    </row>
    <row r="8" spans="2:27" x14ac:dyDescent="0.45">
      <c r="B8" s="3" t="s">
        <v>39</v>
      </c>
      <c r="C8" s="101">
        <f>Input!C63</f>
        <v>1</v>
      </c>
      <c r="O8" s="3" t="s">
        <v>31</v>
      </c>
      <c r="P8" s="8"/>
      <c r="X8" s="3"/>
      <c r="Y8" s="8"/>
    </row>
    <row r="9" spans="2:27" x14ac:dyDescent="0.45">
      <c r="B9" s="31" t="s">
        <v>40</v>
      </c>
      <c r="C9" s="103">
        <f>'Ableitung Optionspreise'!I27</f>
        <v>9.4822794113231978</v>
      </c>
      <c r="O9" s="31" t="s">
        <v>7</v>
      </c>
      <c r="P9" s="103">
        <f>'Ableitung Optionspreise'!I27</f>
        <v>9.4822794113231978</v>
      </c>
      <c r="X9" s="31" t="s">
        <v>2</v>
      </c>
      <c r="Y9" s="103">
        <f>'Ableitung Optionspreise'!H27</f>
        <v>6.8648048002898712</v>
      </c>
    </row>
    <row r="10" spans="2:27" ht="14.65" thickBot="1" x14ac:dyDescent="0.5">
      <c r="B10" s="30" t="s">
        <v>54</v>
      </c>
      <c r="C10" s="104">
        <f>Input!C44</f>
        <v>70</v>
      </c>
      <c r="O10" s="30" t="s">
        <v>144</v>
      </c>
      <c r="P10" s="104">
        <f>Input!C44</f>
        <v>70</v>
      </c>
      <c r="X10" s="30" t="s">
        <v>145</v>
      </c>
      <c r="Y10" s="104">
        <f>Input!C44</f>
        <v>70</v>
      </c>
    </row>
    <row r="11" spans="2:27" x14ac:dyDescent="0.45">
      <c r="B11" s="36"/>
      <c r="C11" s="36"/>
      <c r="O11" s="36"/>
      <c r="P11" s="36"/>
      <c r="R11" s="36"/>
      <c r="S11" s="36"/>
    </row>
    <row r="12" spans="2:27" x14ac:dyDescent="0.45">
      <c r="U12" s="63"/>
      <c r="V12" s="63"/>
    </row>
    <row r="13" spans="2:27" x14ac:dyDescent="0.45">
      <c r="U13" s="63"/>
      <c r="V13" s="63"/>
    </row>
    <row r="14" spans="2:27" x14ac:dyDescent="0.45">
      <c r="U14" s="63"/>
      <c r="V14" s="63"/>
    </row>
    <row r="15" spans="2:27" x14ac:dyDescent="0.45">
      <c r="U15" s="63"/>
      <c r="V15" s="63"/>
      <c r="AA15" s="63"/>
    </row>
    <row r="16" spans="2:27" ht="15.4" x14ac:dyDescent="0.45">
      <c r="U16" s="63"/>
      <c r="V16" s="63"/>
      <c r="X16" s="1"/>
    </row>
    <row r="18" spans="2:30" ht="14.65" thickBot="1" x14ac:dyDescent="0.5"/>
    <row r="19" spans="2:30" x14ac:dyDescent="0.45">
      <c r="B19" s="32" t="s">
        <v>4</v>
      </c>
      <c r="C19" s="33" t="s">
        <v>19</v>
      </c>
      <c r="O19" s="54" t="s">
        <v>4</v>
      </c>
      <c r="P19" s="55" t="s">
        <v>19</v>
      </c>
      <c r="R19" s="54" t="s">
        <v>4</v>
      </c>
      <c r="S19" s="55" t="s">
        <v>19</v>
      </c>
      <c r="U19" s="58" t="s">
        <v>146</v>
      </c>
      <c r="V19" s="58" t="s">
        <v>19</v>
      </c>
      <c r="X19" s="54" t="s">
        <v>4</v>
      </c>
      <c r="Y19" s="55" t="s">
        <v>19</v>
      </c>
      <c r="AA19" s="58" t="s">
        <v>150</v>
      </c>
      <c r="AB19" s="58" t="s">
        <v>151</v>
      </c>
    </row>
    <row r="20" spans="2:30" x14ac:dyDescent="0.45">
      <c r="B20" s="106">
        <f>Input!C5</f>
        <v>0</v>
      </c>
      <c r="C20" s="34">
        <f>SUM(((B20-$C$7)*$C$6),IF(B20&lt;$C$10,$C$10-B20-$C$9,-$C$9)*$C$8)</f>
        <v>-9.4822794113231978</v>
      </c>
      <c r="O20" s="109">
        <f>Input!C5</f>
        <v>0</v>
      </c>
      <c r="P20" s="56">
        <f t="shared" ref="P20:P48" si="0">IF(O20&lt;$P$10,$P$10-$O20-$P$9,-$P$9)</f>
        <v>60.517720588676802</v>
      </c>
      <c r="R20" s="109">
        <f>Input!C5</f>
        <v>0</v>
      </c>
      <c r="S20" s="56">
        <f>R20-$S$7</f>
        <v>-70</v>
      </c>
      <c r="U20" s="69">
        <f t="shared" ref="U20:U48" si="1">V20-C20</f>
        <v>0</v>
      </c>
      <c r="V20" s="56">
        <f t="shared" ref="V20:V48" si="2">S20+P20</f>
        <v>-9.4822794113231978</v>
      </c>
      <c r="X20" s="109">
        <f>Input!C5</f>
        <v>0</v>
      </c>
      <c r="Y20" s="56">
        <f>IF(X20&gt;$Y$10,X20-$Y$10-$Y$9,-$Y$9)</f>
        <v>-6.8648048002898712</v>
      </c>
      <c r="AA20" s="69">
        <f t="shared" ref="AA20:AA48" si="3">P20+S20</f>
        <v>-9.4822794113231978</v>
      </c>
      <c r="AB20" s="56">
        <f>Y20</f>
        <v>-6.8648048002898712</v>
      </c>
      <c r="AD20" s="9"/>
    </row>
    <row r="21" spans="2:30" x14ac:dyDescent="0.45">
      <c r="B21" s="106">
        <f>Input!C6</f>
        <v>5</v>
      </c>
      <c r="C21" s="34">
        <f t="shared" ref="C21:C48" si="4">SUM(((B21-$C$7)*$C$6),IF(B21&lt;$C$10,$C$10-B21-$C$9,-$C$9)*$C$8)</f>
        <v>-9.4822794113231978</v>
      </c>
      <c r="O21" s="109">
        <f>Input!C6</f>
        <v>5</v>
      </c>
      <c r="P21" s="56">
        <f t="shared" si="0"/>
        <v>55.517720588676802</v>
      </c>
      <c r="R21" s="109">
        <f>Input!C6</f>
        <v>5</v>
      </c>
      <c r="S21" s="56">
        <f t="shared" ref="S21:S33" si="5">R21-$S$7</f>
        <v>-65</v>
      </c>
      <c r="U21" s="69">
        <f t="shared" si="1"/>
        <v>0</v>
      </c>
      <c r="V21" s="56">
        <f t="shared" si="2"/>
        <v>-9.4822794113231978</v>
      </c>
      <c r="X21" s="109">
        <f>Input!C6</f>
        <v>5</v>
      </c>
      <c r="Y21" s="56">
        <f t="shared" ref="Y21:Y48" si="6">IF(X21&gt;$Y$10,X21-$Y$10-$Y$9,-$Y$9)</f>
        <v>-6.8648048002898712</v>
      </c>
      <c r="AA21" s="69">
        <f t="shared" si="3"/>
        <v>-9.4822794113231978</v>
      </c>
      <c r="AB21" s="56">
        <f t="shared" ref="AB21:AB48" si="7">Y21</f>
        <v>-6.8648048002898712</v>
      </c>
    </row>
    <row r="22" spans="2:30" x14ac:dyDescent="0.45">
      <c r="B22" s="106">
        <f>Input!C7</f>
        <v>10</v>
      </c>
      <c r="C22" s="34">
        <f t="shared" si="4"/>
        <v>-9.4822794113231978</v>
      </c>
      <c r="O22" s="109">
        <f>Input!C7</f>
        <v>10</v>
      </c>
      <c r="P22" s="56">
        <f t="shared" si="0"/>
        <v>50.517720588676802</v>
      </c>
      <c r="R22" s="109">
        <f>Input!C7</f>
        <v>10</v>
      </c>
      <c r="S22" s="56">
        <f t="shared" si="5"/>
        <v>-60</v>
      </c>
      <c r="U22" s="69">
        <f t="shared" si="1"/>
        <v>0</v>
      </c>
      <c r="V22" s="56">
        <f t="shared" si="2"/>
        <v>-9.4822794113231978</v>
      </c>
      <c r="X22" s="109">
        <f>Input!C7</f>
        <v>10</v>
      </c>
      <c r="Y22" s="56">
        <f t="shared" si="6"/>
        <v>-6.8648048002898712</v>
      </c>
      <c r="AA22" s="69">
        <f t="shared" si="3"/>
        <v>-9.4822794113231978</v>
      </c>
      <c r="AB22" s="56">
        <f t="shared" si="7"/>
        <v>-6.8648048002898712</v>
      </c>
    </row>
    <row r="23" spans="2:30" x14ac:dyDescent="0.45">
      <c r="B23" s="106">
        <f>Input!C8</f>
        <v>15</v>
      </c>
      <c r="C23" s="34">
        <f t="shared" si="4"/>
        <v>-9.4822794113231978</v>
      </c>
      <c r="O23" s="109">
        <f>Input!C8</f>
        <v>15</v>
      </c>
      <c r="P23" s="56">
        <f t="shared" si="0"/>
        <v>45.517720588676802</v>
      </c>
      <c r="R23" s="109">
        <f>Input!C8</f>
        <v>15</v>
      </c>
      <c r="S23" s="56">
        <f t="shared" si="5"/>
        <v>-55</v>
      </c>
      <c r="U23" s="69">
        <f t="shared" si="1"/>
        <v>0</v>
      </c>
      <c r="V23" s="56">
        <f t="shared" si="2"/>
        <v>-9.4822794113231978</v>
      </c>
      <c r="X23" s="109">
        <f>Input!C8</f>
        <v>15</v>
      </c>
      <c r="Y23" s="56">
        <f t="shared" si="6"/>
        <v>-6.8648048002898712</v>
      </c>
      <c r="AA23" s="69">
        <f t="shared" si="3"/>
        <v>-9.4822794113231978</v>
      </c>
      <c r="AB23" s="56">
        <f t="shared" si="7"/>
        <v>-6.8648048002898712</v>
      </c>
    </row>
    <row r="24" spans="2:30" x14ac:dyDescent="0.45">
      <c r="B24" s="106">
        <f>Input!C9</f>
        <v>20</v>
      </c>
      <c r="C24" s="34">
        <f t="shared" si="4"/>
        <v>-9.4822794113231978</v>
      </c>
      <c r="O24" s="109">
        <f>Input!C9</f>
        <v>20</v>
      </c>
      <c r="P24" s="56">
        <f t="shared" si="0"/>
        <v>40.517720588676802</v>
      </c>
      <c r="R24" s="109">
        <f>Input!C9</f>
        <v>20</v>
      </c>
      <c r="S24" s="56">
        <f t="shared" si="5"/>
        <v>-50</v>
      </c>
      <c r="U24" s="69">
        <f t="shared" si="1"/>
        <v>0</v>
      </c>
      <c r="V24" s="56">
        <f t="shared" si="2"/>
        <v>-9.4822794113231978</v>
      </c>
      <c r="X24" s="109">
        <f>Input!C9</f>
        <v>20</v>
      </c>
      <c r="Y24" s="56">
        <f t="shared" si="6"/>
        <v>-6.8648048002898712</v>
      </c>
      <c r="AA24" s="69">
        <f t="shared" si="3"/>
        <v>-9.4822794113231978</v>
      </c>
      <c r="AB24" s="56">
        <f t="shared" si="7"/>
        <v>-6.8648048002898712</v>
      </c>
    </row>
    <row r="25" spans="2:30" x14ac:dyDescent="0.45">
      <c r="B25" s="106">
        <f>Input!C10</f>
        <v>25</v>
      </c>
      <c r="C25" s="34">
        <f t="shared" si="4"/>
        <v>-9.4822794113231978</v>
      </c>
      <c r="O25" s="109">
        <f>Input!C10</f>
        <v>25</v>
      </c>
      <c r="P25" s="56">
        <f t="shared" si="0"/>
        <v>35.517720588676802</v>
      </c>
      <c r="R25" s="109">
        <f>Input!C10</f>
        <v>25</v>
      </c>
      <c r="S25" s="56">
        <f t="shared" si="5"/>
        <v>-45</v>
      </c>
      <c r="U25" s="69">
        <f t="shared" si="1"/>
        <v>0</v>
      </c>
      <c r="V25" s="56">
        <f t="shared" si="2"/>
        <v>-9.4822794113231978</v>
      </c>
      <c r="X25" s="109">
        <f>Input!C10</f>
        <v>25</v>
      </c>
      <c r="Y25" s="56">
        <f t="shared" si="6"/>
        <v>-6.8648048002898712</v>
      </c>
      <c r="AA25" s="69">
        <f t="shared" si="3"/>
        <v>-9.4822794113231978</v>
      </c>
      <c r="AB25" s="56">
        <f t="shared" si="7"/>
        <v>-6.8648048002898712</v>
      </c>
    </row>
    <row r="26" spans="2:30" x14ac:dyDescent="0.45">
      <c r="B26" s="106">
        <f>Input!C11</f>
        <v>30</v>
      </c>
      <c r="C26" s="34">
        <f t="shared" si="4"/>
        <v>-9.4822794113231978</v>
      </c>
      <c r="O26" s="109">
        <f>Input!C11</f>
        <v>30</v>
      </c>
      <c r="P26" s="56">
        <f t="shared" si="0"/>
        <v>30.517720588676802</v>
      </c>
      <c r="R26" s="109">
        <f>Input!C11</f>
        <v>30</v>
      </c>
      <c r="S26" s="56">
        <f t="shared" si="5"/>
        <v>-40</v>
      </c>
      <c r="U26" s="69">
        <f t="shared" si="1"/>
        <v>0</v>
      </c>
      <c r="V26" s="56">
        <f t="shared" si="2"/>
        <v>-9.4822794113231978</v>
      </c>
      <c r="X26" s="109">
        <f>Input!C11</f>
        <v>30</v>
      </c>
      <c r="Y26" s="56">
        <f t="shared" si="6"/>
        <v>-6.8648048002898712</v>
      </c>
      <c r="AA26" s="69">
        <f t="shared" si="3"/>
        <v>-9.4822794113231978</v>
      </c>
      <c r="AB26" s="56">
        <f t="shared" si="7"/>
        <v>-6.8648048002898712</v>
      </c>
    </row>
    <row r="27" spans="2:30" x14ac:dyDescent="0.45">
      <c r="B27" s="106">
        <f>Input!C12</f>
        <v>35</v>
      </c>
      <c r="C27" s="34">
        <f t="shared" si="4"/>
        <v>-9.4822794113231978</v>
      </c>
      <c r="O27" s="109">
        <f>Input!C12</f>
        <v>35</v>
      </c>
      <c r="P27" s="56">
        <f t="shared" si="0"/>
        <v>25.517720588676802</v>
      </c>
      <c r="R27" s="109">
        <f>Input!C12</f>
        <v>35</v>
      </c>
      <c r="S27" s="56">
        <f t="shared" si="5"/>
        <v>-35</v>
      </c>
      <c r="U27" s="69">
        <f t="shared" si="1"/>
        <v>0</v>
      </c>
      <c r="V27" s="56">
        <f t="shared" si="2"/>
        <v>-9.4822794113231978</v>
      </c>
      <c r="X27" s="109">
        <f>Input!C12</f>
        <v>35</v>
      </c>
      <c r="Y27" s="56">
        <f t="shared" si="6"/>
        <v>-6.8648048002898712</v>
      </c>
      <c r="AA27" s="69">
        <f t="shared" si="3"/>
        <v>-9.4822794113231978</v>
      </c>
      <c r="AB27" s="56">
        <f t="shared" si="7"/>
        <v>-6.8648048002898712</v>
      </c>
    </row>
    <row r="28" spans="2:30" x14ac:dyDescent="0.45">
      <c r="B28" s="106">
        <f>Input!C13</f>
        <v>40</v>
      </c>
      <c r="C28" s="34">
        <f t="shared" si="4"/>
        <v>-9.4822794113231978</v>
      </c>
      <c r="O28" s="109">
        <f>Input!C13</f>
        <v>40</v>
      </c>
      <c r="P28" s="56">
        <f t="shared" si="0"/>
        <v>20.517720588676802</v>
      </c>
      <c r="R28" s="109">
        <f>Input!C13</f>
        <v>40</v>
      </c>
      <c r="S28" s="56">
        <f t="shared" si="5"/>
        <v>-30</v>
      </c>
      <c r="U28" s="69">
        <f t="shared" si="1"/>
        <v>0</v>
      </c>
      <c r="V28" s="56">
        <f t="shared" si="2"/>
        <v>-9.4822794113231978</v>
      </c>
      <c r="X28" s="109">
        <f>Input!C13</f>
        <v>40</v>
      </c>
      <c r="Y28" s="56">
        <f t="shared" si="6"/>
        <v>-6.8648048002898712</v>
      </c>
      <c r="AA28" s="69">
        <f t="shared" si="3"/>
        <v>-9.4822794113231978</v>
      </c>
      <c r="AB28" s="56">
        <f t="shared" si="7"/>
        <v>-6.8648048002898712</v>
      </c>
    </row>
    <row r="29" spans="2:30" x14ac:dyDescent="0.45">
      <c r="B29" s="106">
        <f>Input!C14</f>
        <v>45</v>
      </c>
      <c r="C29" s="34">
        <f t="shared" si="4"/>
        <v>-9.4822794113231978</v>
      </c>
      <c r="O29" s="109">
        <f>Input!C14</f>
        <v>45</v>
      </c>
      <c r="P29" s="56">
        <f t="shared" si="0"/>
        <v>15.517720588676802</v>
      </c>
      <c r="R29" s="109">
        <f>Input!C14</f>
        <v>45</v>
      </c>
      <c r="S29" s="56">
        <f t="shared" si="5"/>
        <v>-25</v>
      </c>
      <c r="U29" s="69">
        <f t="shared" si="1"/>
        <v>0</v>
      </c>
      <c r="V29" s="56">
        <f t="shared" si="2"/>
        <v>-9.4822794113231978</v>
      </c>
      <c r="X29" s="109">
        <f>Input!C14</f>
        <v>45</v>
      </c>
      <c r="Y29" s="56">
        <f t="shared" si="6"/>
        <v>-6.8648048002898712</v>
      </c>
      <c r="AA29" s="69">
        <f t="shared" si="3"/>
        <v>-9.4822794113231978</v>
      </c>
      <c r="AB29" s="56">
        <f t="shared" si="7"/>
        <v>-6.8648048002898712</v>
      </c>
    </row>
    <row r="30" spans="2:30" x14ac:dyDescent="0.45">
      <c r="B30" s="106">
        <f>Input!C15</f>
        <v>50</v>
      </c>
      <c r="C30" s="34">
        <f t="shared" si="4"/>
        <v>-9.4822794113231978</v>
      </c>
      <c r="O30" s="109">
        <f>Input!C15</f>
        <v>50</v>
      </c>
      <c r="P30" s="56">
        <f t="shared" si="0"/>
        <v>10.517720588676802</v>
      </c>
      <c r="R30" s="109">
        <f>Input!C15</f>
        <v>50</v>
      </c>
      <c r="S30" s="56">
        <f t="shared" si="5"/>
        <v>-20</v>
      </c>
      <c r="U30" s="69">
        <f t="shared" si="1"/>
        <v>0</v>
      </c>
      <c r="V30" s="56">
        <f t="shared" si="2"/>
        <v>-9.4822794113231978</v>
      </c>
      <c r="X30" s="109">
        <f>Input!C15</f>
        <v>50</v>
      </c>
      <c r="Y30" s="56">
        <f t="shared" si="6"/>
        <v>-6.8648048002898712</v>
      </c>
      <c r="AA30" s="69">
        <f t="shared" si="3"/>
        <v>-9.4822794113231978</v>
      </c>
      <c r="AB30" s="56">
        <f t="shared" si="7"/>
        <v>-6.8648048002898712</v>
      </c>
    </row>
    <row r="31" spans="2:30" x14ac:dyDescent="0.45">
      <c r="B31" s="106">
        <f>Input!C16</f>
        <v>55</v>
      </c>
      <c r="C31" s="34">
        <f t="shared" si="4"/>
        <v>-9.4822794113231978</v>
      </c>
      <c r="O31" s="109">
        <f>Input!C16</f>
        <v>55</v>
      </c>
      <c r="P31" s="56">
        <f t="shared" si="0"/>
        <v>5.5177205886768022</v>
      </c>
      <c r="R31" s="109">
        <f>Input!C16</f>
        <v>55</v>
      </c>
      <c r="S31" s="56">
        <f t="shared" si="5"/>
        <v>-15</v>
      </c>
      <c r="U31" s="69">
        <f t="shared" si="1"/>
        <v>0</v>
      </c>
      <c r="V31" s="56">
        <f t="shared" si="2"/>
        <v>-9.4822794113231978</v>
      </c>
      <c r="X31" s="109">
        <f>Input!C16</f>
        <v>55</v>
      </c>
      <c r="Y31" s="56">
        <f t="shared" si="6"/>
        <v>-6.8648048002898712</v>
      </c>
      <c r="AA31" s="69">
        <f t="shared" si="3"/>
        <v>-9.4822794113231978</v>
      </c>
      <c r="AB31" s="56">
        <f t="shared" si="7"/>
        <v>-6.8648048002898712</v>
      </c>
    </row>
    <row r="32" spans="2:30" x14ac:dyDescent="0.45">
      <c r="B32" s="106">
        <f>Input!C17</f>
        <v>60</v>
      </c>
      <c r="C32" s="34">
        <f t="shared" si="4"/>
        <v>-9.4822794113231978</v>
      </c>
      <c r="O32" s="109">
        <f>Input!C17</f>
        <v>60</v>
      </c>
      <c r="P32" s="56">
        <f t="shared" si="0"/>
        <v>0.51772058867680215</v>
      </c>
      <c r="R32" s="109">
        <f>Input!C17</f>
        <v>60</v>
      </c>
      <c r="S32" s="56">
        <f t="shared" si="5"/>
        <v>-10</v>
      </c>
      <c r="U32" s="69">
        <f t="shared" si="1"/>
        <v>0</v>
      </c>
      <c r="V32" s="56">
        <f t="shared" si="2"/>
        <v>-9.4822794113231978</v>
      </c>
      <c r="X32" s="109">
        <f>Input!C17</f>
        <v>60</v>
      </c>
      <c r="Y32" s="56">
        <f t="shared" si="6"/>
        <v>-6.8648048002898712</v>
      </c>
      <c r="AA32" s="69">
        <f t="shared" si="3"/>
        <v>-9.4822794113231978</v>
      </c>
      <c r="AB32" s="56">
        <f t="shared" si="7"/>
        <v>-6.8648048002898712</v>
      </c>
    </row>
    <row r="33" spans="2:30" x14ac:dyDescent="0.45">
      <c r="B33" s="106">
        <f>Input!C18</f>
        <v>65</v>
      </c>
      <c r="C33" s="34">
        <f t="shared" si="4"/>
        <v>-9.4822794113231978</v>
      </c>
      <c r="O33" s="109">
        <f>Input!C18</f>
        <v>65</v>
      </c>
      <c r="P33" s="56">
        <f t="shared" si="0"/>
        <v>-4.4822794113231978</v>
      </c>
      <c r="R33" s="109">
        <f>Input!C18</f>
        <v>65</v>
      </c>
      <c r="S33" s="56">
        <f t="shared" si="5"/>
        <v>-5</v>
      </c>
      <c r="U33" s="69">
        <f t="shared" si="1"/>
        <v>0</v>
      </c>
      <c r="V33" s="56">
        <f t="shared" si="2"/>
        <v>-9.4822794113231978</v>
      </c>
      <c r="X33" s="109">
        <f>Input!C18</f>
        <v>65</v>
      </c>
      <c r="Y33" s="56">
        <f t="shared" si="6"/>
        <v>-6.8648048002898712</v>
      </c>
      <c r="AA33" s="69">
        <f t="shared" si="3"/>
        <v>-9.4822794113231978</v>
      </c>
      <c r="AB33" s="56">
        <f t="shared" si="7"/>
        <v>-6.8648048002898712</v>
      </c>
    </row>
    <row r="34" spans="2:30" x14ac:dyDescent="0.45">
      <c r="B34" s="106">
        <f>Input!C19</f>
        <v>70</v>
      </c>
      <c r="C34" s="34">
        <f t="shared" si="4"/>
        <v>-9.4822794113231978</v>
      </c>
      <c r="O34" s="109">
        <f>Input!C19</f>
        <v>70</v>
      </c>
      <c r="P34" s="56">
        <f t="shared" si="0"/>
        <v>-9.4822794113231978</v>
      </c>
      <c r="R34" s="109">
        <f>Input!C19</f>
        <v>70</v>
      </c>
      <c r="S34" s="56">
        <f>R34-$S$7</f>
        <v>0</v>
      </c>
      <c r="U34" s="69">
        <f t="shared" si="1"/>
        <v>0</v>
      </c>
      <c r="V34" s="56">
        <f t="shared" si="2"/>
        <v>-9.4822794113231978</v>
      </c>
      <c r="X34" s="109">
        <f>Input!C19</f>
        <v>70</v>
      </c>
      <c r="Y34" s="56">
        <f t="shared" si="6"/>
        <v>-6.8648048002898712</v>
      </c>
      <c r="AA34" s="69">
        <f t="shared" si="3"/>
        <v>-9.4822794113231978</v>
      </c>
      <c r="AB34" s="56">
        <f t="shared" si="7"/>
        <v>-6.8648048002898712</v>
      </c>
    </row>
    <row r="35" spans="2:30" x14ac:dyDescent="0.45">
      <c r="B35" s="106">
        <f>Input!C20</f>
        <v>75</v>
      </c>
      <c r="C35" s="34">
        <f t="shared" si="4"/>
        <v>-4.4822794113231978</v>
      </c>
      <c r="O35" s="109">
        <f>Input!C20</f>
        <v>75</v>
      </c>
      <c r="P35" s="56">
        <f t="shared" si="0"/>
        <v>-9.4822794113231978</v>
      </c>
      <c r="R35" s="109">
        <f>Input!C20</f>
        <v>75</v>
      </c>
      <c r="S35" s="56">
        <f t="shared" ref="S35:S48" si="8">R35-$S$7</f>
        <v>5</v>
      </c>
      <c r="U35" s="69">
        <f t="shared" si="1"/>
        <v>0</v>
      </c>
      <c r="V35" s="56">
        <f t="shared" si="2"/>
        <v>-4.4822794113231978</v>
      </c>
      <c r="X35" s="109">
        <f>Input!C20</f>
        <v>75</v>
      </c>
      <c r="Y35" s="56">
        <f t="shared" si="6"/>
        <v>-1.8648048002898712</v>
      </c>
      <c r="AA35" s="69">
        <f t="shared" si="3"/>
        <v>-4.4822794113231978</v>
      </c>
      <c r="AB35" s="56">
        <f t="shared" si="7"/>
        <v>-1.8648048002898712</v>
      </c>
    </row>
    <row r="36" spans="2:30" x14ac:dyDescent="0.45">
      <c r="B36" s="106">
        <f>Input!C21</f>
        <v>80</v>
      </c>
      <c r="C36" s="34">
        <f t="shared" si="4"/>
        <v>0.51772058867680215</v>
      </c>
      <c r="O36" s="109">
        <f>Input!C21</f>
        <v>80</v>
      </c>
      <c r="P36" s="56">
        <f t="shared" si="0"/>
        <v>-9.4822794113231978</v>
      </c>
      <c r="R36" s="109">
        <f>Input!C21</f>
        <v>80</v>
      </c>
      <c r="S36" s="56">
        <f t="shared" si="8"/>
        <v>10</v>
      </c>
      <c r="U36" s="69">
        <f t="shared" si="1"/>
        <v>0</v>
      </c>
      <c r="V36" s="56">
        <f t="shared" si="2"/>
        <v>0.51772058867680215</v>
      </c>
      <c r="X36" s="109">
        <f>Input!C21</f>
        <v>80</v>
      </c>
      <c r="Y36" s="56">
        <f t="shared" si="6"/>
        <v>3.1351951997101288</v>
      </c>
      <c r="AA36" s="69">
        <f t="shared" si="3"/>
        <v>0.51772058867680215</v>
      </c>
      <c r="AB36" s="56">
        <f t="shared" si="7"/>
        <v>3.1351951997101288</v>
      </c>
    </row>
    <row r="37" spans="2:30" x14ac:dyDescent="0.45">
      <c r="B37" s="106">
        <f>Input!C22</f>
        <v>85</v>
      </c>
      <c r="C37" s="34">
        <f t="shared" si="4"/>
        <v>5.5177205886768022</v>
      </c>
      <c r="O37" s="109">
        <f>Input!C22</f>
        <v>85</v>
      </c>
      <c r="P37" s="56">
        <f t="shared" si="0"/>
        <v>-9.4822794113231978</v>
      </c>
      <c r="R37" s="109">
        <f>Input!C22</f>
        <v>85</v>
      </c>
      <c r="S37" s="56">
        <f t="shared" si="8"/>
        <v>15</v>
      </c>
      <c r="U37" s="69">
        <f t="shared" si="1"/>
        <v>0</v>
      </c>
      <c r="V37" s="56">
        <f t="shared" si="2"/>
        <v>5.5177205886768022</v>
      </c>
      <c r="X37" s="109">
        <f>Input!C22</f>
        <v>85</v>
      </c>
      <c r="Y37" s="56">
        <f t="shared" si="6"/>
        <v>8.1351951997101288</v>
      </c>
      <c r="AA37" s="69">
        <f t="shared" si="3"/>
        <v>5.5177205886768022</v>
      </c>
      <c r="AB37" s="56">
        <f t="shared" si="7"/>
        <v>8.1351951997101288</v>
      </c>
    </row>
    <row r="38" spans="2:30" x14ac:dyDescent="0.45">
      <c r="B38" s="106">
        <f>Input!C23</f>
        <v>90</v>
      </c>
      <c r="C38" s="34">
        <f t="shared" si="4"/>
        <v>10.517720588676802</v>
      </c>
      <c r="O38" s="109">
        <f>Input!C23</f>
        <v>90</v>
      </c>
      <c r="P38" s="56">
        <f t="shared" si="0"/>
        <v>-9.4822794113231978</v>
      </c>
      <c r="R38" s="109">
        <f>Input!C23</f>
        <v>90</v>
      </c>
      <c r="S38" s="56">
        <f t="shared" si="8"/>
        <v>20</v>
      </c>
      <c r="U38" s="69">
        <f t="shared" si="1"/>
        <v>0</v>
      </c>
      <c r="V38" s="56">
        <f t="shared" si="2"/>
        <v>10.517720588676802</v>
      </c>
      <c r="X38" s="109">
        <f>Input!C23</f>
        <v>90</v>
      </c>
      <c r="Y38" s="56">
        <f t="shared" si="6"/>
        <v>13.135195199710129</v>
      </c>
      <c r="AA38" s="69">
        <f t="shared" si="3"/>
        <v>10.517720588676802</v>
      </c>
      <c r="AB38" s="56">
        <f t="shared" si="7"/>
        <v>13.135195199710129</v>
      </c>
    </row>
    <row r="39" spans="2:30" x14ac:dyDescent="0.45">
      <c r="B39" s="106">
        <f>Input!C24</f>
        <v>95</v>
      </c>
      <c r="C39" s="34">
        <f t="shared" si="4"/>
        <v>15.517720588676802</v>
      </c>
      <c r="O39" s="109">
        <f>Input!C24</f>
        <v>95</v>
      </c>
      <c r="P39" s="56">
        <f t="shared" si="0"/>
        <v>-9.4822794113231978</v>
      </c>
      <c r="R39" s="109">
        <f>Input!C24</f>
        <v>95</v>
      </c>
      <c r="S39" s="56">
        <f t="shared" si="8"/>
        <v>25</v>
      </c>
      <c r="U39" s="69">
        <f t="shared" si="1"/>
        <v>0</v>
      </c>
      <c r="V39" s="56">
        <f t="shared" si="2"/>
        <v>15.517720588676802</v>
      </c>
      <c r="X39" s="109">
        <f>Input!C24</f>
        <v>95</v>
      </c>
      <c r="Y39" s="56">
        <f t="shared" si="6"/>
        <v>18.135195199710129</v>
      </c>
      <c r="AA39" s="69">
        <f t="shared" si="3"/>
        <v>15.517720588676802</v>
      </c>
      <c r="AB39" s="56">
        <f t="shared" si="7"/>
        <v>18.135195199710129</v>
      </c>
    </row>
    <row r="40" spans="2:30" x14ac:dyDescent="0.45">
      <c r="B40" s="106">
        <f>Input!C25</f>
        <v>100</v>
      </c>
      <c r="C40" s="34">
        <f t="shared" si="4"/>
        <v>20.517720588676802</v>
      </c>
      <c r="O40" s="109">
        <f>Input!C25</f>
        <v>100</v>
      </c>
      <c r="P40" s="56">
        <f t="shared" si="0"/>
        <v>-9.4822794113231978</v>
      </c>
      <c r="R40" s="109">
        <f>Input!C25</f>
        <v>100</v>
      </c>
      <c r="S40" s="56">
        <f t="shared" si="8"/>
        <v>30</v>
      </c>
      <c r="U40" s="69">
        <f t="shared" si="1"/>
        <v>0</v>
      </c>
      <c r="V40" s="56">
        <f t="shared" si="2"/>
        <v>20.517720588676802</v>
      </c>
      <c r="X40" s="109">
        <f>Input!C25</f>
        <v>100</v>
      </c>
      <c r="Y40" s="56">
        <f t="shared" si="6"/>
        <v>23.135195199710129</v>
      </c>
      <c r="AA40" s="69">
        <f t="shared" si="3"/>
        <v>20.517720588676802</v>
      </c>
      <c r="AB40" s="56">
        <f t="shared" si="7"/>
        <v>23.135195199710129</v>
      </c>
      <c r="AD40" s="9"/>
    </row>
    <row r="41" spans="2:30" x14ac:dyDescent="0.45">
      <c r="B41" s="106">
        <f>Input!C26</f>
        <v>105</v>
      </c>
      <c r="C41" s="34">
        <f>SUM(((B41-$C$7)*$C$6),IF(B41&lt;$C$10,$C$10-B41-$C$9,-$C$9)*$C$8)</f>
        <v>25.517720588676802</v>
      </c>
      <c r="O41" s="109">
        <f>Input!C26</f>
        <v>105</v>
      </c>
      <c r="P41" s="56">
        <f t="shared" si="0"/>
        <v>-9.4822794113231978</v>
      </c>
      <c r="R41" s="109">
        <f>Input!C26</f>
        <v>105</v>
      </c>
      <c r="S41" s="56">
        <f t="shared" si="8"/>
        <v>35</v>
      </c>
      <c r="U41" s="69">
        <f t="shared" si="1"/>
        <v>0</v>
      </c>
      <c r="V41" s="56">
        <f t="shared" si="2"/>
        <v>25.517720588676802</v>
      </c>
      <c r="X41" s="109">
        <f>Input!C26</f>
        <v>105</v>
      </c>
      <c r="Y41" s="56">
        <f t="shared" si="6"/>
        <v>28.135195199710129</v>
      </c>
      <c r="AA41" s="69">
        <f t="shared" si="3"/>
        <v>25.517720588676802</v>
      </c>
      <c r="AB41" s="56">
        <f t="shared" si="7"/>
        <v>28.135195199710129</v>
      </c>
    </row>
    <row r="42" spans="2:30" x14ac:dyDescent="0.45">
      <c r="B42" s="106">
        <f>Input!C27</f>
        <v>110</v>
      </c>
      <c r="C42" s="34">
        <f t="shared" si="4"/>
        <v>30.517720588676802</v>
      </c>
      <c r="O42" s="109">
        <f>Input!C27</f>
        <v>110</v>
      </c>
      <c r="P42" s="56">
        <f t="shared" si="0"/>
        <v>-9.4822794113231978</v>
      </c>
      <c r="R42" s="109">
        <f>Input!C27</f>
        <v>110</v>
      </c>
      <c r="S42" s="56">
        <f t="shared" si="8"/>
        <v>40</v>
      </c>
      <c r="U42" s="69">
        <f t="shared" si="1"/>
        <v>0</v>
      </c>
      <c r="V42" s="56">
        <f t="shared" si="2"/>
        <v>30.517720588676802</v>
      </c>
      <c r="X42" s="109">
        <f>Input!C27</f>
        <v>110</v>
      </c>
      <c r="Y42" s="56">
        <f t="shared" si="6"/>
        <v>33.135195199710125</v>
      </c>
      <c r="AA42" s="69">
        <f t="shared" si="3"/>
        <v>30.517720588676802</v>
      </c>
      <c r="AB42" s="56">
        <f t="shared" si="7"/>
        <v>33.135195199710125</v>
      </c>
    </row>
    <row r="43" spans="2:30" x14ac:dyDescent="0.45">
      <c r="B43" s="106">
        <f>Input!C28</f>
        <v>115</v>
      </c>
      <c r="C43" s="34">
        <f t="shared" si="4"/>
        <v>35.517720588676802</v>
      </c>
      <c r="O43" s="109">
        <f>Input!C28</f>
        <v>115</v>
      </c>
      <c r="P43" s="56">
        <f t="shared" si="0"/>
        <v>-9.4822794113231978</v>
      </c>
      <c r="R43" s="109">
        <f>Input!C28</f>
        <v>115</v>
      </c>
      <c r="S43" s="56">
        <f t="shared" si="8"/>
        <v>45</v>
      </c>
      <c r="U43" s="69">
        <f t="shared" si="1"/>
        <v>0</v>
      </c>
      <c r="V43" s="56">
        <f t="shared" si="2"/>
        <v>35.517720588676802</v>
      </c>
      <c r="X43" s="109">
        <f>Input!C28</f>
        <v>115</v>
      </c>
      <c r="Y43" s="56">
        <f t="shared" si="6"/>
        <v>38.135195199710125</v>
      </c>
      <c r="AA43" s="69">
        <f t="shared" si="3"/>
        <v>35.517720588676802</v>
      </c>
      <c r="AB43" s="56">
        <f t="shared" si="7"/>
        <v>38.135195199710125</v>
      </c>
    </row>
    <row r="44" spans="2:30" x14ac:dyDescent="0.45">
      <c r="B44" s="106">
        <f>Input!C29</f>
        <v>120</v>
      </c>
      <c r="C44" s="34">
        <f t="shared" si="4"/>
        <v>40.517720588676802</v>
      </c>
      <c r="O44" s="109">
        <f>Input!C29</f>
        <v>120</v>
      </c>
      <c r="P44" s="56">
        <f t="shared" si="0"/>
        <v>-9.4822794113231978</v>
      </c>
      <c r="R44" s="109">
        <f>Input!C29</f>
        <v>120</v>
      </c>
      <c r="S44" s="56">
        <f t="shared" si="8"/>
        <v>50</v>
      </c>
      <c r="U44" s="69">
        <f t="shared" si="1"/>
        <v>0</v>
      </c>
      <c r="V44" s="56">
        <f t="shared" si="2"/>
        <v>40.517720588676802</v>
      </c>
      <c r="X44" s="109">
        <f>Input!C29</f>
        <v>120</v>
      </c>
      <c r="Y44" s="56">
        <f t="shared" si="6"/>
        <v>43.135195199710125</v>
      </c>
      <c r="AA44" s="69">
        <f t="shared" si="3"/>
        <v>40.517720588676802</v>
      </c>
      <c r="AB44" s="56">
        <f t="shared" si="7"/>
        <v>43.135195199710125</v>
      </c>
    </row>
    <row r="45" spans="2:30" x14ac:dyDescent="0.45">
      <c r="B45" s="106">
        <f>Input!C30</f>
        <v>125</v>
      </c>
      <c r="C45" s="34">
        <f t="shared" si="4"/>
        <v>45.517720588676802</v>
      </c>
      <c r="O45" s="109">
        <f>Input!C30</f>
        <v>125</v>
      </c>
      <c r="P45" s="56">
        <f t="shared" si="0"/>
        <v>-9.4822794113231978</v>
      </c>
      <c r="R45" s="109">
        <f>Input!C30</f>
        <v>125</v>
      </c>
      <c r="S45" s="56">
        <f t="shared" si="8"/>
        <v>55</v>
      </c>
      <c r="U45" s="69">
        <f t="shared" si="1"/>
        <v>0</v>
      </c>
      <c r="V45" s="56">
        <f t="shared" si="2"/>
        <v>45.517720588676802</v>
      </c>
      <c r="X45" s="109">
        <f>Input!C30</f>
        <v>125</v>
      </c>
      <c r="Y45" s="56">
        <f t="shared" si="6"/>
        <v>48.135195199710125</v>
      </c>
      <c r="AA45" s="69">
        <f t="shared" si="3"/>
        <v>45.517720588676802</v>
      </c>
      <c r="AB45" s="56">
        <f t="shared" si="7"/>
        <v>48.135195199710125</v>
      </c>
    </row>
    <row r="46" spans="2:30" x14ac:dyDescent="0.45">
      <c r="B46" s="106">
        <f>Input!C31</f>
        <v>130</v>
      </c>
      <c r="C46" s="34">
        <f t="shared" si="4"/>
        <v>50.517720588676802</v>
      </c>
      <c r="O46" s="109">
        <f>Input!C31</f>
        <v>130</v>
      </c>
      <c r="P46" s="56">
        <f t="shared" si="0"/>
        <v>-9.4822794113231978</v>
      </c>
      <c r="R46" s="109">
        <f>Input!C31</f>
        <v>130</v>
      </c>
      <c r="S46" s="56">
        <f t="shared" si="8"/>
        <v>60</v>
      </c>
      <c r="U46" s="69">
        <f t="shared" si="1"/>
        <v>0</v>
      </c>
      <c r="V46" s="56">
        <f t="shared" si="2"/>
        <v>50.517720588676802</v>
      </c>
      <c r="X46" s="109">
        <f>Input!C31</f>
        <v>130</v>
      </c>
      <c r="Y46" s="56">
        <f t="shared" si="6"/>
        <v>53.135195199710125</v>
      </c>
      <c r="AA46" s="69">
        <f t="shared" si="3"/>
        <v>50.517720588676802</v>
      </c>
      <c r="AB46" s="56">
        <f t="shared" si="7"/>
        <v>53.135195199710125</v>
      </c>
    </row>
    <row r="47" spans="2:30" x14ac:dyDescent="0.45">
      <c r="B47" s="106">
        <f>Input!C32</f>
        <v>135</v>
      </c>
      <c r="C47" s="34">
        <f>SUM(((B47-$C$7)*$C$6),IF(B47&lt;$C$10,$C$10-B47-$C$9,-$C$9)*$C$8)</f>
        <v>55.517720588676802</v>
      </c>
      <c r="O47" s="109">
        <f>Input!C32</f>
        <v>135</v>
      </c>
      <c r="P47" s="56">
        <f t="shared" si="0"/>
        <v>-9.4822794113231978</v>
      </c>
      <c r="R47" s="109">
        <f>Input!C32</f>
        <v>135</v>
      </c>
      <c r="S47" s="56">
        <f t="shared" si="8"/>
        <v>65</v>
      </c>
      <c r="U47" s="69">
        <f t="shared" si="1"/>
        <v>0</v>
      </c>
      <c r="V47" s="56">
        <f t="shared" si="2"/>
        <v>55.517720588676802</v>
      </c>
      <c r="X47" s="109">
        <f>Input!C32</f>
        <v>135</v>
      </c>
      <c r="Y47" s="56">
        <f t="shared" si="6"/>
        <v>58.135195199710125</v>
      </c>
      <c r="AA47" s="69">
        <f t="shared" si="3"/>
        <v>55.517720588676802</v>
      </c>
      <c r="AB47" s="56">
        <f t="shared" si="7"/>
        <v>58.135195199710125</v>
      </c>
    </row>
    <row r="48" spans="2:30" ht="14.65" thickBot="1" x14ac:dyDescent="0.5">
      <c r="B48" s="108">
        <f>Input!C33</f>
        <v>140</v>
      </c>
      <c r="C48" s="35">
        <f t="shared" si="4"/>
        <v>60.517720588676802</v>
      </c>
      <c r="O48" s="110">
        <f>Input!C33</f>
        <v>140</v>
      </c>
      <c r="P48" s="57">
        <f t="shared" si="0"/>
        <v>-9.4822794113231978</v>
      </c>
      <c r="R48" s="110">
        <f>Input!C33</f>
        <v>140</v>
      </c>
      <c r="S48" s="57">
        <f t="shared" si="8"/>
        <v>70</v>
      </c>
      <c r="U48" s="70">
        <f t="shared" si="1"/>
        <v>0</v>
      </c>
      <c r="V48" s="57">
        <f t="shared" si="2"/>
        <v>60.517720588676802</v>
      </c>
      <c r="X48" s="110">
        <f>Input!C33</f>
        <v>140</v>
      </c>
      <c r="Y48" s="57">
        <f t="shared" si="6"/>
        <v>63.135195199710125</v>
      </c>
      <c r="AA48" s="70">
        <f t="shared" si="3"/>
        <v>60.517720588676802</v>
      </c>
      <c r="AB48" s="57">
        <f t="shared" si="7"/>
        <v>63.135195199710125</v>
      </c>
    </row>
    <row r="50" spans="2:3" x14ac:dyDescent="0.45">
      <c r="B50" s="296" t="s">
        <v>262</v>
      </c>
      <c r="C50" s="297">
        <f>-C9</f>
        <v>-9.4822794113231978</v>
      </c>
    </row>
  </sheetData>
  <conditionalFormatting sqref="A5:B5 D5:N5 A4:N4 Y3:Z3 T5 X4:Z4 AC1:XFD10 R3:S4 A12:A48 E12:N18 A6:P11 A49:N49 Z5:Z10 AA6:AB10 AA19:AB19 AC19:XFD1048576 AD11:XFD18 Q3:Q41 Q49:Z51 W12:W41 T6:Y10 R11:W11 A1:S2 A52:Z1048576 Q42:W48 X1:Z2 A3 C3:N3 B19:P48 X19:Z48 R19:V48 A51:N51 A50 D50:N50">
    <cfRule type="containsBlanks" dxfId="466" priority="53">
      <formula>LEN(TRIM(A1))=0</formula>
    </cfRule>
  </conditionalFormatting>
  <conditionalFormatting sqref="O3:P4">
    <cfRule type="containsBlanks" dxfId="465" priority="52">
      <formula>LEN(TRIM(O3))=0</formula>
    </cfRule>
  </conditionalFormatting>
  <conditionalFormatting sqref="O5">
    <cfRule type="containsBlanks" dxfId="464" priority="51">
      <formula>LEN(TRIM(O5))=0</formula>
    </cfRule>
  </conditionalFormatting>
  <conditionalFormatting sqref="R6:S7">
    <cfRule type="containsBlanks" dxfId="463" priority="49">
      <formula>LEN(TRIM(R6))=0</formula>
    </cfRule>
  </conditionalFormatting>
  <conditionalFormatting sqref="X5">
    <cfRule type="containsBlanks" dxfId="462" priority="48">
      <formula>LEN(TRIM(X5))=0</formula>
    </cfRule>
  </conditionalFormatting>
  <conditionalFormatting sqref="X3">
    <cfRule type="containsBlanks" dxfId="461" priority="47">
      <formula>LEN(TRIM(X3))=0</formula>
    </cfRule>
  </conditionalFormatting>
  <conditionalFormatting sqref="U20:V48">
    <cfRule type="containsBlanks" dxfId="460" priority="46">
      <formula>LEN(TRIM(U20))=0</formula>
    </cfRule>
  </conditionalFormatting>
  <conditionalFormatting sqref="V19">
    <cfRule type="containsBlanks" dxfId="459" priority="41">
      <formula>LEN(TRIM(V19))=0</formula>
    </cfRule>
  </conditionalFormatting>
  <conditionalFormatting sqref="U19">
    <cfRule type="containsBlanks" dxfId="458" priority="40">
      <formula>LEN(TRIM(U19))=0</formula>
    </cfRule>
  </conditionalFormatting>
  <conditionalFormatting sqref="V20:V48">
    <cfRule type="containsBlanks" dxfId="457" priority="43">
      <formula>LEN(TRIM(V20))=0</formula>
    </cfRule>
  </conditionalFormatting>
  <conditionalFormatting sqref="V19">
    <cfRule type="containsBlanks" dxfId="456" priority="42">
      <formula>LEN(TRIM(V19))=0</formula>
    </cfRule>
  </conditionalFormatting>
  <conditionalFormatting sqref="AA3:AA4">
    <cfRule type="containsBlanks" dxfId="455" priority="30">
      <formula>LEN(TRIM(AA3))=0</formula>
    </cfRule>
  </conditionalFormatting>
  <conditionalFormatting sqref="AA5">
    <cfRule type="containsBlanks" dxfId="454" priority="29">
      <formula>LEN(TRIM(AA5))=0</formula>
    </cfRule>
  </conditionalFormatting>
  <conditionalFormatting sqref="AA1:AB2 AB3:AB5 AA49:AB1048576 AB20:AB48">
    <cfRule type="containsBlanks" dxfId="453" priority="36">
      <formula>LEN(TRIM(AA1))=0</formula>
    </cfRule>
  </conditionalFormatting>
  <conditionalFormatting sqref="AB20:AB48">
    <cfRule type="containsBlanks" dxfId="452" priority="35">
      <formula>LEN(TRIM(AB20))=0</formula>
    </cfRule>
  </conditionalFormatting>
  <conditionalFormatting sqref="AB19">
    <cfRule type="containsBlanks" dxfId="451" priority="32">
      <formula>LEN(TRIM(AB19))=0</formula>
    </cfRule>
  </conditionalFormatting>
  <conditionalFormatting sqref="AA19">
    <cfRule type="containsBlanks" dxfId="450" priority="31">
      <formula>LEN(TRIM(AA19))=0</formula>
    </cfRule>
  </conditionalFormatting>
  <conditionalFormatting sqref="AB20:AB48">
    <cfRule type="containsBlanks" dxfId="449" priority="34">
      <formula>LEN(TRIM(AB20))=0</formula>
    </cfRule>
  </conditionalFormatting>
  <conditionalFormatting sqref="AB19">
    <cfRule type="containsBlanks" dxfId="448" priority="33">
      <formula>LEN(TRIM(AB19))=0</formula>
    </cfRule>
  </conditionalFormatting>
  <conditionalFormatting sqref="AA20:AA48">
    <cfRule type="containsBlanks" dxfId="447" priority="28">
      <formula>LEN(TRIM(AA20))=0</formula>
    </cfRule>
  </conditionalFormatting>
  <conditionalFormatting sqref="B12:D18">
    <cfRule type="containsBlanks" dxfId="446" priority="27">
      <formula>LEN(TRIM(B12))=0</formula>
    </cfRule>
  </conditionalFormatting>
  <conditionalFormatting sqref="O12:P18">
    <cfRule type="containsBlanks" dxfId="445" priority="26">
      <formula>LEN(TRIM(O12))=0</formula>
    </cfRule>
  </conditionalFormatting>
  <conditionalFormatting sqref="O49:P51">
    <cfRule type="containsBlanks" dxfId="444" priority="25">
      <formula>LEN(TRIM(O49))=0</formula>
    </cfRule>
  </conditionalFormatting>
  <conditionalFormatting sqref="R8:S10">
    <cfRule type="containsBlanks" dxfId="443" priority="24">
      <formula>LEN(TRIM(R8))=0</formula>
    </cfRule>
  </conditionalFormatting>
  <conditionalFormatting sqref="R5">
    <cfRule type="containsBlanks" dxfId="442" priority="23">
      <formula>LEN(TRIM(R5))=0</formula>
    </cfRule>
  </conditionalFormatting>
  <conditionalFormatting sqref="R17:V18 R12:T16">
    <cfRule type="containsBlanks" dxfId="441" priority="22">
      <formula>LEN(TRIM(R12))=0</formula>
    </cfRule>
  </conditionalFormatting>
  <conditionalFormatting sqref="X11:AC13 X17:AC18 AA14:AC16">
    <cfRule type="containsBlanks" dxfId="440" priority="21">
      <formula>LEN(TRIM(X11))=0</formula>
    </cfRule>
  </conditionalFormatting>
  <conditionalFormatting sqref="U12:V16">
    <cfRule type="containsBlanks" dxfId="439" priority="15">
      <formula>LEN(TRIM(U12))=0</formula>
    </cfRule>
  </conditionalFormatting>
  <conditionalFormatting sqref="T1:W2 T3:T4">
    <cfRule type="containsBlanks" dxfId="438" priority="14">
      <formula>LEN(TRIM(T1))=0</formula>
    </cfRule>
  </conditionalFormatting>
  <conditionalFormatting sqref="Z16">
    <cfRule type="containsBlanks" dxfId="437" priority="13">
      <formula>LEN(TRIM(Z16))=0</formula>
    </cfRule>
  </conditionalFormatting>
  <conditionalFormatting sqref="Y16">
    <cfRule type="containsBlanks" dxfId="436" priority="12">
      <formula>LEN(TRIM(Y16))=0</formula>
    </cfRule>
  </conditionalFormatting>
  <conditionalFormatting sqref="X16">
    <cfRule type="containsBlanks" dxfId="435" priority="11">
      <formula>LEN(TRIM(X16))=0</formula>
    </cfRule>
  </conditionalFormatting>
  <conditionalFormatting sqref="X14:Z15">
    <cfRule type="containsBlanks" dxfId="434" priority="10">
      <formula>LEN(TRIM(X14))=0</formula>
    </cfRule>
  </conditionalFormatting>
  <conditionalFormatting sqref="U3:W4">
    <cfRule type="containsBlanks" dxfId="433" priority="9">
      <formula>LEN(TRIM(U3))=0</formula>
    </cfRule>
  </conditionalFormatting>
  <conditionalFormatting sqref="U5:W5">
    <cfRule type="containsBlanks" dxfId="432" priority="8">
      <formula>LEN(TRIM(U5))=0</formula>
    </cfRule>
  </conditionalFormatting>
  <conditionalFormatting sqref="B3">
    <cfRule type="containsBlanks" dxfId="431" priority="5">
      <formula>LEN(TRIM(B3))=0</formula>
    </cfRule>
  </conditionalFormatting>
  <conditionalFormatting sqref="B50">
    <cfRule type="containsBlanks" dxfId="430" priority="2">
      <formula>LEN(TRIM(B50))=0</formula>
    </cfRule>
  </conditionalFormatting>
  <conditionalFormatting sqref="C50">
    <cfRule type="containsBlanks" dxfId="429" priority="1">
      <formula>LEN(TRIM(C50))=0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B3:Z50"/>
  <sheetViews>
    <sheetView zoomScale="77" zoomScaleNormal="77" workbookViewId="0">
      <selection activeCell="E46" sqref="E46"/>
    </sheetView>
  </sheetViews>
  <sheetFormatPr baseColWidth="10" defaultColWidth="9.1328125" defaultRowHeight="14.25" x14ac:dyDescent="0.45"/>
  <cols>
    <col min="2" max="2" width="27.3984375" bestFit="1" customWidth="1"/>
    <col min="5" max="5" width="16.3984375" bestFit="1" customWidth="1"/>
    <col min="15" max="15" width="26.46484375" bestFit="1" customWidth="1"/>
    <col min="18" max="18" width="26.796875" customWidth="1"/>
    <col min="21" max="21" width="26.86328125" customWidth="1"/>
    <col min="24" max="24" width="14.86328125" customWidth="1"/>
  </cols>
  <sheetData>
    <row r="3" spans="2:26" ht="15.4" x14ac:dyDescent="0.45">
      <c r="B3" s="1" t="s">
        <v>111</v>
      </c>
      <c r="O3" s="1" t="s">
        <v>143</v>
      </c>
      <c r="R3" s="1" t="s">
        <v>141</v>
      </c>
      <c r="U3" s="1" t="s">
        <v>21</v>
      </c>
      <c r="X3" s="1" t="s">
        <v>152</v>
      </c>
    </row>
    <row r="4" spans="2:26" ht="14.65" thickBot="1" x14ac:dyDescent="0.5">
      <c r="X4" s="43" t="s">
        <v>148</v>
      </c>
    </row>
    <row r="5" spans="2:26" ht="15.4" x14ac:dyDescent="0.45">
      <c r="B5" s="2" t="s">
        <v>0</v>
      </c>
      <c r="C5" s="7"/>
      <c r="O5" s="59" t="s">
        <v>0</v>
      </c>
      <c r="P5" s="60"/>
      <c r="R5" s="59" t="s">
        <v>0</v>
      </c>
      <c r="S5" s="60"/>
      <c r="U5" s="59" t="s">
        <v>0</v>
      </c>
      <c r="V5" s="60"/>
      <c r="X5" s="1" t="s">
        <v>153</v>
      </c>
    </row>
    <row r="6" spans="2:26" x14ac:dyDescent="0.45">
      <c r="B6" s="3" t="s">
        <v>32</v>
      </c>
      <c r="C6" s="101">
        <f>Input!C59</f>
        <v>1</v>
      </c>
      <c r="O6" s="46"/>
      <c r="P6" s="47"/>
      <c r="R6" s="3"/>
      <c r="S6" s="8"/>
      <c r="U6" s="3"/>
      <c r="V6" s="8"/>
      <c r="X6" s="43"/>
      <c r="Y6" s="43"/>
    </row>
    <row r="7" spans="2:26" x14ac:dyDescent="0.45">
      <c r="B7" s="3" t="s">
        <v>30</v>
      </c>
      <c r="C7" s="101">
        <f>Input!C42</f>
        <v>70</v>
      </c>
      <c r="O7" s="48" t="s">
        <v>30</v>
      </c>
      <c r="P7" s="107">
        <f>Input!C42</f>
        <v>70</v>
      </c>
      <c r="R7" s="3" t="s">
        <v>30</v>
      </c>
      <c r="S7" s="107">
        <f>Input!C42</f>
        <v>70</v>
      </c>
      <c r="U7" s="3" t="s">
        <v>30</v>
      </c>
      <c r="V7" s="107">
        <f>Input!C42</f>
        <v>70</v>
      </c>
      <c r="X7" s="43"/>
      <c r="Y7" s="43"/>
    </row>
    <row r="8" spans="2:26" x14ac:dyDescent="0.45">
      <c r="B8" s="3" t="s">
        <v>39</v>
      </c>
      <c r="C8" s="101">
        <f>Input!C63</f>
        <v>1</v>
      </c>
      <c r="O8" s="65"/>
      <c r="P8" s="66"/>
      <c r="R8" s="3"/>
      <c r="S8" s="8"/>
      <c r="U8" s="3"/>
      <c r="V8" s="8"/>
      <c r="X8" s="43"/>
      <c r="Y8" s="43"/>
    </row>
    <row r="9" spans="2:26" x14ac:dyDescent="0.45">
      <c r="B9" s="31" t="s">
        <v>40</v>
      </c>
      <c r="C9" s="103">
        <f>'Ableitung Optionspreise'!D27</f>
        <v>8.3120046774244081</v>
      </c>
      <c r="O9" s="67"/>
      <c r="P9" s="68"/>
      <c r="Q9" s="43"/>
      <c r="R9" s="31" t="s">
        <v>2</v>
      </c>
      <c r="S9" s="107">
        <f>'Ableitung Optionspreise'!L27</f>
        <v>6.1273274075246036</v>
      </c>
      <c r="U9" s="31" t="s">
        <v>7</v>
      </c>
      <c r="V9" s="107">
        <f>'Ableitung Optionspreise'!D27</f>
        <v>8.3120046774244081</v>
      </c>
      <c r="X9" s="43"/>
      <c r="Y9" s="43"/>
    </row>
    <row r="10" spans="2:26" ht="14.65" thickBot="1" x14ac:dyDescent="0.5">
      <c r="B10" s="31" t="s">
        <v>41</v>
      </c>
      <c r="C10" s="103">
        <f>Input!C43</f>
        <v>68</v>
      </c>
      <c r="O10" s="67"/>
      <c r="P10" s="68"/>
      <c r="Q10" s="43"/>
      <c r="R10" s="30" t="s">
        <v>3</v>
      </c>
      <c r="S10" s="107">
        <f>Input!C45</f>
        <v>72</v>
      </c>
      <c r="U10" s="30" t="s">
        <v>144</v>
      </c>
      <c r="V10" s="107">
        <f>Input!C43</f>
        <v>68</v>
      </c>
      <c r="X10" s="43"/>
      <c r="Y10" s="43"/>
    </row>
    <row r="11" spans="2:26" x14ac:dyDescent="0.45">
      <c r="B11" s="31" t="s">
        <v>36</v>
      </c>
      <c r="C11" s="103">
        <f>Input!C61</f>
        <v>1</v>
      </c>
      <c r="O11" s="43"/>
      <c r="P11" s="43"/>
      <c r="Q11" s="43"/>
      <c r="R11" s="43"/>
      <c r="S11" s="43"/>
      <c r="T11" s="43"/>
      <c r="U11" s="43"/>
      <c r="V11" s="43"/>
      <c r="W11" s="43"/>
      <c r="X11" s="43"/>
      <c r="Y11" s="43"/>
      <c r="Z11" s="43"/>
    </row>
    <row r="12" spans="2:26" x14ac:dyDescent="0.45">
      <c r="B12" s="31" t="s">
        <v>37</v>
      </c>
      <c r="C12" s="103">
        <f>'Ableitung Optionspreise'!L27</f>
        <v>6.1273274075246036</v>
      </c>
      <c r="O12" s="43"/>
      <c r="P12" s="43"/>
      <c r="Q12" s="43"/>
      <c r="R12" s="43"/>
      <c r="S12" s="43"/>
      <c r="T12" s="43"/>
      <c r="U12" s="43"/>
      <c r="V12" s="43"/>
      <c r="W12" s="43"/>
      <c r="X12" s="43"/>
      <c r="Y12" s="43"/>
      <c r="Z12" s="43"/>
    </row>
    <row r="13" spans="2:26" ht="14.65" thickBot="1" x14ac:dyDescent="0.5">
      <c r="B13" s="6" t="s">
        <v>38</v>
      </c>
      <c r="C13" s="111">
        <f>Input!C45</f>
        <v>72</v>
      </c>
      <c r="O13" s="43"/>
      <c r="P13" s="43"/>
      <c r="Q13" s="43"/>
      <c r="R13" s="43"/>
      <c r="S13" s="43"/>
      <c r="T13" s="43"/>
      <c r="U13" s="43"/>
      <c r="V13" s="43"/>
      <c r="W13" s="43"/>
      <c r="X13" s="43"/>
      <c r="Y13" s="43"/>
      <c r="Z13" s="43"/>
    </row>
    <row r="14" spans="2:26" x14ac:dyDescent="0.45">
      <c r="B14" s="65"/>
      <c r="C14" s="66"/>
      <c r="O14" s="67"/>
      <c r="P14" s="68"/>
      <c r="Q14" s="43"/>
      <c r="R14" s="65"/>
      <c r="S14" s="66"/>
      <c r="U14" s="65"/>
      <c r="V14" s="66"/>
    </row>
    <row r="15" spans="2:26" x14ac:dyDescent="0.45">
      <c r="B15" s="65"/>
      <c r="C15" s="66"/>
      <c r="O15" s="67"/>
      <c r="P15" s="68"/>
      <c r="Q15" s="43"/>
      <c r="R15" s="65"/>
      <c r="S15" s="66"/>
      <c r="U15" s="65"/>
      <c r="V15" s="66"/>
    </row>
    <row r="16" spans="2:26" x14ac:dyDescent="0.45">
      <c r="B16" s="65"/>
      <c r="C16" s="66"/>
      <c r="E16" s="43"/>
      <c r="F16" s="43"/>
      <c r="G16" s="43"/>
      <c r="O16" s="65"/>
      <c r="P16" s="66"/>
      <c r="R16" s="65"/>
      <c r="S16" s="66"/>
      <c r="U16" s="65"/>
      <c r="V16" s="66"/>
    </row>
    <row r="17" spans="2:25" x14ac:dyDescent="0.45">
      <c r="B17" s="67"/>
      <c r="C17" s="68"/>
      <c r="E17" s="43"/>
      <c r="F17" s="43"/>
      <c r="G17" s="43"/>
      <c r="O17" s="65"/>
      <c r="P17" s="66"/>
      <c r="R17" s="65"/>
      <c r="S17" s="66"/>
      <c r="U17" s="65"/>
      <c r="V17" s="66"/>
    </row>
    <row r="18" spans="2:25" x14ac:dyDescent="0.45">
      <c r="B18" s="43"/>
      <c r="C18" s="43"/>
      <c r="E18" s="43"/>
      <c r="F18" s="43"/>
      <c r="G18" s="43"/>
      <c r="O18" s="36"/>
      <c r="P18" s="36"/>
      <c r="R18" s="36"/>
      <c r="S18" s="36"/>
      <c r="U18" s="36"/>
      <c r="V18" s="36"/>
    </row>
    <row r="19" spans="2:25" x14ac:dyDescent="0.45">
      <c r="B19" s="54" t="s">
        <v>4</v>
      </c>
      <c r="C19" s="55" t="s">
        <v>19</v>
      </c>
      <c r="E19" s="43"/>
      <c r="F19" s="43"/>
      <c r="G19" s="43"/>
      <c r="O19" s="54" t="s">
        <v>4</v>
      </c>
      <c r="P19" s="55" t="s">
        <v>19</v>
      </c>
      <c r="R19" s="54" t="s">
        <v>4</v>
      </c>
      <c r="S19" s="55" t="s">
        <v>19</v>
      </c>
      <c r="U19" s="54" t="s">
        <v>4</v>
      </c>
      <c r="V19" s="55" t="s">
        <v>19</v>
      </c>
      <c r="X19" s="54" t="s">
        <v>146</v>
      </c>
      <c r="Y19" s="55" t="s">
        <v>19</v>
      </c>
    </row>
    <row r="20" spans="2:25" x14ac:dyDescent="0.45">
      <c r="B20" s="109">
        <f>Input!C5</f>
        <v>0</v>
      </c>
      <c r="C20" s="56">
        <f t="shared" ref="C20:C48" si="0">SUM(((B20-$C$7)*$C$6),IF(B20&lt;$C$10,$C$10-B20-$C$9,-$C$9)*$C$8,IF(B20&gt;$C$13,$C$13-B20+$C$12,$C$12)*$C$11)</f>
        <v>-4.184677269899808</v>
      </c>
      <c r="E20" s="43"/>
      <c r="F20" s="43"/>
      <c r="G20" s="43"/>
      <c r="O20" s="109">
        <f>Input!C5</f>
        <v>0</v>
      </c>
      <c r="P20" s="56">
        <f t="shared" ref="P20:P48" si="1">O20-$P$7</f>
        <v>-70</v>
      </c>
      <c r="R20" s="109">
        <f>Input!C5</f>
        <v>0</v>
      </c>
      <c r="S20" s="56">
        <f t="shared" ref="S20:S48" si="2">IF(R20&gt;$S$10,$S$10-$R20+$S$9,$S$9)</f>
        <v>6.1273274075246036</v>
      </c>
      <c r="U20" s="109">
        <f>Input!C5</f>
        <v>0</v>
      </c>
      <c r="V20" s="56">
        <f t="shared" ref="V20:V48" si="3">IF(U20&lt;$V$10,$V$10-$U20-$V$9,-$V$9)</f>
        <v>59.687995322575588</v>
      </c>
      <c r="X20" s="74">
        <f>ROUND((C20-Y20),2)</f>
        <v>0</v>
      </c>
      <c r="Y20" s="56">
        <f>P20+S20+V20</f>
        <v>-4.184677269899808</v>
      </c>
    </row>
    <row r="21" spans="2:25" x14ac:dyDescent="0.45">
      <c r="B21" s="109">
        <f>Input!C6</f>
        <v>5</v>
      </c>
      <c r="C21" s="56">
        <f t="shared" si="0"/>
        <v>-4.184677269899808</v>
      </c>
      <c r="E21" s="43"/>
      <c r="F21" s="43"/>
      <c r="G21" s="43"/>
      <c r="O21" s="109">
        <f>Input!C6</f>
        <v>5</v>
      </c>
      <c r="P21" s="56">
        <f t="shared" si="1"/>
        <v>-65</v>
      </c>
      <c r="R21" s="109">
        <f>Input!C6</f>
        <v>5</v>
      </c>
      <c r="S21" s="56">
        <f t="shared" si="2"/>
        <v>6.1273274075246036</v>
      </c>
      <c r="U21" s="109">
        <f>Input!C6</f>
        <v>5</v>
      </c>
      <c r="V21" s="56">
        <f t="shared" si="3"/>
        <v>54.687995322575588</v>
      </c>
      <c r="X21" s="74">
        <f t="shared" ref="X21:X48" si="4">ROUND((C21-Y21),2)</f>
        <v>0</v>
      </c>
      <c r="Y21" s="56">
        <f t="shared" ref="Y21:Y48" si="5">P21+S21+V21</f>
        <v>-4.184677269899808</v>
      </c>
    </row>
    <row r="22" spans="2:25" x14ac:dyDescent="0.45">
      <c r="B22" s="109">
        <f>Input!C7</f>
        <v>10</v>
      </c>
      <c r="C22" s="56">
        <f t="shared" si="0"/>
        <v>-4.184677269899808</v>
      </c>
      <c r="E22" s="43"/>
      <c r="F22" s="43"/>
      <c r="G22" s="43"/>
      <c r="O22" s="109">
        <f>Input!C7</f>
        <v>10</v>
      </c>
      <c r="P22" s="56">
        <f t="shared" si="1"/>
        <v>-60</v>
      </c>
      <c r="R22" s="109">
        <f>Input!C7</f>
        <v>10</v>
      </c>
      <c r="S22" s="56">
        <f t="shared" si="2"/>
        <v>6.1273274075246036</v>
      </c>
      <c r="U22" s="109">
        <f>Input!C7</f>
        <v>10</v>
      </c>
      <c r="V22" s="56">
        <f t="shared" si="3"/>
        <v>49.687995322575588</v>
      </c>
      <c r="X22" s="74">
        <f t="shared" si="4"/>
        <v>0</v>
      </c>
      <c r="Y22" s="56">
        <f t="shared" si="5"/>
        <v>-4.184677269899808</v>
      </c>
    </row>
    <row r="23" spans="2:25" x14ac:dyDescent="0.45">
      <c r="B23" s="109">
        <f>Input!C8</f>
        <v>15</v>
      </c>
      <c r="C23" s="56">
        <f t="shared" si="0"/>
        <v>-4.184677269899808</v>
      </c>
      <c r="E23" s="43"/>
      <c r="F23" s="43"/>
      <c r="G23" s="43"/>
      <c r="O23" s="109">
        <f>Input!C8</f>
        <v>15</v>
      </c>
      <c r="P23" s="56">
        <f t="shared" si="1"/>
        <v>-55</v>
      </c>
      <c r="R23" s="109">
        <f>Input!C8</f>
        <v>15</v>
      </c>
      <c r="S23" s="56">
        <f t="shared" si="2"/>
        <v>6.1273274075246036</v>
      </c>
      <c r="U23" s="109">
        <f>Input!C8</f>
        <v>15</v>
      </c>
      <c r="V23" s="56">
        <f t="shared" si="3"/>
        <v>44.687995322575588</v>
      </c>
      <c r="X23" s="74">
        <f t="shared" si="4"/>
        <v>0</v>
      </c>
      <c r="Y23" s="56">
        <f t="shared" si="5"/>
        <v>-4.184677269899808</v>
      </c>
    </row>
    <row r="24" spans="2:25" x14ac:dyDescent="0.45">
      <c r="B24" s="109">
        <f>Input!C9</f>
        <v>20</v>
      </c>
      <c r="C24" s="56">
        <f t="shared" si="0"/>
        <v>-4.184677269899808</v>
      </c>
      <c r="E24" s="43"/>
      <c r="F24" s="43"/>
      <c r="G24" s="43"/>
      <c r="O24" s="109">
        <f>Input!C9</f>
        <v>20</v>
      </c>
      <c r="P24" s="56">
        <f t="shared" si="1"/>
        <v>-50</v>
      </c>
      <c r="R24" s="109">
        <f>Input!C9</f>
        <v>20</v>
      </c>
      <c r="S24" s="56">
        <f t="shared" si="2"/>
        <v>6.1273274075246036</v>
      </c>
      <c r="U24" s="109">
        <f>Input!C9</f>
        <v>20</v>
      </c>
      <c r="V24" s="56">
        <f t="shared" si="3"/>
        <v>39.687995322575588</v>
      </c>
      <c r="X24" s="74">
        <f t="shared" si="4"/>
        <v>0</v>
      </c>
      <c r="Y24" s="56">
        <f t="shared" si="5"/>
        <v>-4.184677269899808</v>
      </c>
    </row>
    <row r="25" spans="2:25" x14ac:dyDescent="0.45">
      <c r="B25" s="109">
        <f>Input!C10</f>
        <v>25</v>
      </c>
      <c r="C25" s="56">
        <f t="shared" si="0"/>
        <v>-4.184677269899808</v>
      </c>
      <c r="E25" s="43"/>
      <c r="F25" s="43"/>
      <c r="G25" s="43"/>
      <c r="O25" s="109">
        <f>Input!C10</f>
        <v>25</v>
      </c>
      <c r="P25" s="56">
        <f t="shared" si="1"/>
        <v>-45</v>
      </c>
      <c r="R25" s="109">
        <f>Input!C10</f>
        <v>25</v>
      </c>
      <c r="S25" s="56">
        <f t="shared" si="2"/>
        <v>6.1273274075246036</v>
      </c>
      <c r="U25" s="109">
        <f>Input!C10</f>
        <v>25</v>
      </c>
      <c r="V25" s="56">
        <f t="shared" si="3"/>
        <v>34.687995322575588</v>
      </c>
      <c r="X25" s="74">
        <f t="shared" si="4"/>
        <v>0</v>
      </c>
      <c r="Y25" s="56">
        <f t="shared" si="5"/>
        <v>-4.184677269899808</v>
      </c>
    </row>
    <row r="26" spans="2:25" x14ac:dyDescent="0.45">
      <c r="B26" s="109">
        <f>Input!C11</f>
        <v>30</v>
      </c>
      <c r="C26" s="56">
        <f t="shared" si="0"/>
        <v>-4.1846772698998045</v>
      </c>
      <c r="E26" s="43"/>
      <c r="F26" s="43"/>
      <c r="G26" s="43"/>
      <c r="O26" s="109">
        <f>Input!C11</f>
        <v>30</v>
      </c>
      <c r="P26" s="56">
        <f t="shared" si="1"/>
        <v>-40</v>
      </c>
      <c r="R26" s="109">
        <f>Input!C11</f>
        <v>30</v>
      </c>
      <c r="S26" s="56">
        <f t="shared" si="2"/>
        <v>6.1273274075246036</v>
      </c>
      <c r="U26" s="109">
        <f>Input!C11</f>
        <v>30</v>
      </c>
      <c r="V26" s="56">
        <f t="shared" si="3"/>
        <v>29.687995322575592</v>
      </c>
      <c r="X26" s="74">
        <f t="shared" si="4"/>
        <v>0</v>
      </c>
      <c r="Y26" s="56">
        <f t="shared" si="5"/>
        <v>-4.1846772698998045</v>
      </c>
    </row>
    <row r="27" spans="2:25" x14ac:dyDescent="0.45">
      <c r="B27" s="109">
        <f>Input!C12</f>
        <v>35</v>
      </c>
      <c r="C27" s="56">
        <f t="shared" si="0"/>
        <v>-4.1846772698998045</v>
      </c>
      <c r="E27" s="43"/>
      <c r="F27" s="43"/>
      <c r="G27" s="43"/>
      <c r="O27" s="109">
        <f>Input!C12</f>
        <v>35</v>
      </c>
      <c r="P27" s="56">
        <f t="shared" si="1"/>
        <v>-35</v>
      </c>
      <c r="R27" s="109">
        <f>Input!C12</f>
        <v>35</v>
      </c>
      <c r="S27" s="56">
        <f t="shared" si="2"/>
        <v>6.1273274075246036</v>
      </c>
      <c r="U27" s="109">
        <f>Input!C12</f>
        <v>35</v>
      </c>
      <c r="V27" s="56">
        <f t="shared" si="3"/>
        <v>24.687995322575592</v>
      </c>
      <c r="X27" s="74">
        <f t="shared" si="4"/>
        <v>0</v>
      </c>
      <c r="Y27" s="56">
        <f t="shared" si="5"/>
        <v>-4.1846772698998045</v>
      </c>
    </row>
    <row r="28" spans="2:25" x14ac:dyDescent="0.45">
      <c r="B28" s="109">
        <f>Input!C13</f>
        <v>40</v>
      </c>
      <c r="C28" s="56">
        <f t="shared" si="0"/>
        <v>-4.1846772698998045</v>
      </c>
      <c r="E28" s="43"/>
      <c r="F28" s="43"/>
      <c r="G28" s="43"/>
      <c r="O28" s="109">
        <f>Input!C13</f>
        <v>40</v>
      </c>
      <c r="P28" s="56">
        <f t="shared" si="1"/>
        <v>-30</v>
      </c>
      <c r="R28" s="109">
        <f>Input!C13</f>
        <v>40</v>
      </c>
      <c r="S28" s="56">
        <f t="shared" si="2"/>
        <v>6.1273274075246036</v>
      </c>
      <c r="U28" s="109">
        <f>Input!C13</f>
        <v>40</v>
      </c>
      <c r="V28" s="56">
        <f t="shared" si="3"/>
        <v>19.687995322575592</v>
      </c>
      <c r="X28" s="74">
        <f t="shared" si="4"/>
        <v>0</v>
      </c>
      <c r="Y28" s="56">
        <f t="shared" si="5"/>
        <v>-4.1846772698998045</v>
      </c>
    </row>
    <row r="29" spans="2:25" x14ac:dyDescent="0.45">
      <c r="B29" s="109">
        <f>Input!C14</f>
        <v>45</v>
      </c>
      <c r="C29" s="56">
        <f t="shared" si="0"/>
        <v>-4.1846772698998045</v>
      </c>
      <c r="E29" s="43"/>
      <c r="F29" s="43"/>
      <c r="G29" s="43"/>
      <c r="O29" s="109">
        <f>Input!C14</f>
        <v>45</v>
      </c>
      <c r="P29" s="56">
        <f t="shared" si="1"/>
        <v>-25</v>
      </c>
      <c r="R29" s="109">
        <f>Input!C14</f>
        <v>45</v>
      </c>
      <c r="S29" s="56">
        <f t="shared" si="2"/>
        <v>6.1273274075246036</v>
      </c>
      <c r="U29" s="109">
        <f>Input!C14</f>
        <v>45</v>
      </c>
      <c r="V29" s="56">
        <f t="shared" si="3"/>
        <v>14.687995322575592</v>
      </c>
      <c r="X29" s="74">
        <f t="shared" si="4"/>
        <v>0</v>
      </c>
      <c r="Y29" s="56">
        <f t="shared" si="5"/>
        <v>-4.1846772698998045</v>
      </c>
    </row>
    <row r="30" spans="2:25" x14ac:dyDescent="0.45">
      <c r="B30" s="109">
        <f>Input!C15</f>
        <v>50</v>
      </c>
      <c r="C30" s="56">
        <f t="shared" si="0"/>
        <v>-4.1846772698998045</v>
      </c>
      <c r="E30" s="43"/>
      <c r="F30" s="43"/>
      <c r="G30" s="43"/>
      <c r="O30" s="109">
        <f>Input!C15</f>
        <v>50</v>
      </c>
      <c r="P30" s="56">
        <f t="shared" si="1"/>
        <v>-20</v>
      </c>
      <c r="R30" s="109">
        <f>Input!C15</f>
        <v>50</v>
      </c>
      <c r="S30" s="56">
        <f t="shared" si="2"/>
        <v>6.1273274075246036</v>
      </c>
      <c r="U30" s="109">
        <f>Input!C15</f>
        <v>50</v>
      </c>
      <c r="V30" s="56">
        <f t="shared" si="3"/>
        <v>9.6879953225755919</v>
      </c>
      <c r="X30" s="74">
        <f t="shared" si="4"/>
        <v>0</v>
      </c>
      <c r="Y30" s="56">
        <f t="shared" si="5"/>
        <v>-4.1846772698998045</v>
      </c>
    </row>
    <row r="31" spans="2:25" x14ac:dyDescent="0.45">
      <c r="B31" s="109">
        <f>Input!C16</f>
        <v>55</v>
      </c>
      <c r="C31" s="56">
        <f t="shared" si="0"/>
        <v>-4.1846772698998045</v>
      </c>
      <c r="E31" s="43"/>
      <c r="F31" s="43"/>
      <c r="G31" s="43"/>
      <c r="O31" s="109">
        <f>Input!C16</f>
        <v>55</v>
      </c>
      <c r="P31" s="56">
        <f t="shared" si="1"/>
        <v>-15</v>
      </c>
      <c r="R31" s="109">
        <f>Input!C16</f>
        <v>55</v>
      </c>
      <c r="S31" s="56">
        <f t="shared" si="2"/>
        <v>6.1273274075246036</v>
      </c>
      <c r="U31" s="109">
        <f>Input!C16</f>
        <v>55</v>
      </c>
      <c r="V31" s="56">
        <f t="shared" si="3"/>
        <v>4.6879953225755919</v>
      </c>
      <c r="X31" s="74">
        <f t="shared" si="4"/>
        <v>0</v>
      </c>
      <c r="Y31" s="56">
        <f t="shared" si="5"/>
        <v>-4.1846772698998045</v>
      </c>
    </row>
    <row r="32" spans="2:25" x14ac:dyDescent="0.45">
      <c r="B32" s="109">
        <f>Input!C17</f>
        <v>60</v>
      </c>
      <c r="C32" s="56">
        <f t="shared" si="0"/>
        <v>-4.1846772698998045</v>
      </c>
      <c r="E32" s="43"/>
      <c r="F32" s="43"/>
      <c r="G32" s="43"/>
      <c r="O32" s="109">
        <f>Input!C17</f>
        <v>60</v>
      </c>
      <c r="P32" s="56">
        <f t="shared" si="1"/>
        <v>-10</v>
      </c>
      <c r="R32" s="109">
        <f>Input!C17</f>
        <v>60</v>
      </c>
      <c r="S32" s="56">
        <f t="shared" si="2"/>
        <v>6.1273274075246036</v>
      </c>
      <c r="U32" s="109">
        <f>Input!C17</f>
        <v>60</v>
      </c>
      <c r="V32" s="56">
        <f t="shared" si="3"/>
        <v>-0.31200467742440807</v>
      </c>
      <c r="X32" s="74">
        <f t="shared" si="4"/>
        <v>0</v>
      </c>
      <c r="Y32" s="56">
        <f t="shared" si="5"/>
        <v>-4.1846772698998045</v>
      </c>
    </row>
    <row r="33" spans="2:25" x14ac:dyDescent="0.45">
      <c r="B33" s="109">
        <f>Input!C18</f>
        <v>65</v>
      </c>
      <c r="C33" s="56">
        <f t="shared" si="0"/>
        <v>-4.1846772698998045</v>
      </c>
      <c r="E33" s="43"/>
      <c r="F33" s="43"/>
      <c r="G33" s="43"/>
      <c r="O33" s="109">
        <f>Input!C18</f>
        <v>65</v>
      </c>
      <c r="P33" s="56">
        <f t="shared" si="1"/>
        <v>-5</v>
      </c>
      <c r="R33" s="109">
        <f>Input!C18</f>
        <v>65</v>
      </c>
      <c r="S33" s="56">
        <f t="shared" si="2"/>
        <v>6.1273274075246036</v>
      </c>
      <c r="U33" s="109">
        <f>Input!C18</f>
        <v>65</v>
      </c>
      <c r="V33" s="56">
        <f t="shared" si="3"/>
        <v>-5.3120046774244081</v>
      </c>
      <c r="X33" s="74">
        <f t="shared" si="4"/>
        <v>0</v>
      </c>
      <c r="Y33" s="56">
        <f t="shared" si="5"/>
        <v>-4.1846772698998045</v>
      </c>
    </row>
    <row r="34" spans="2:25" x14ac:dyDescent="0.45">
      <c r="B34" s="109">
        <f>Input!C19</f>
        <v>70</v>
      </c>
      <c r="C34" s="56">
        <f t="shared" si="0"/>
        <v>-2.1846772698998045</v>
      </c>
      <c r="E34" s="43"/>
      <c r="F34" s="43"/>
      <c r="G34" s="43"/>
      <c r="O34" s="109">
        <f>Input!C19</f>
        <v>70</v>
      </c>
      <c r="P34" s="56">
        <f t="shared" si="1"/>
        <v>0</v>
      </c>
      <c r="R34" s="109">
        <f>Input!C19</f>
        <v>70</v>
      </c>
      <c r="S34" s="56">
        <f t="shared" si="2"/>
        <v>6.1273274075246036</v>
      </c>
      <c r="U34" s="109">
        <f>Input!C19</f>
        <v>70</v>
      </c>
      <c r="V34" s="56">
        <f t="shared" si="3"/>
        <v>-8.3120046774244081</v>
      </c>
      <c r="X34" s="74">
        <f t="shared" si="4"/>
        <v>0</v>
      </c>
      <c r="Y34" s="56">
        <f t="shared" si="5"/>
        <v>-2.1846772698998045</v>
      </c>
    </row>
    <row r="35" spans="2:25" x14ac:dyDescent="0.45">
      <c r="B35" s="109">
        <f>Input!C20</f>
        <v>75</v>
      </c>
      <c r="C35" s="56">
        <f t="shared" si="0"/>
        <v>-0.18467726989980449</v>
      </c>
      <c r="E35" s="43"/>
      <c r="F35" s="43"/>
      <c r="G35" s="43"/>
      <c r="O35" s="109">
        <f>Input!C20</f>
        <v>75</v>
      </c>
      <c r="P35" s="56">
        <f t="shared" si="1"/>
        <v>5</v>
      </c>
      <c r="R35" s="109">
        <f>Input!C20</f>
        <v>75</v>
      </c>
      <c r="S35" s="56">
        <f t="shared" si="2"/>
        <v>3.1273274075246036</v>
      </c>
      <c r="U35" s="109">
        <f>Input!C20</f>
        <v>75</v>
      </c>
      <c r="V35" s="56">
        <f t="shared" si="3"/>
        <v>-8.3120046774244081</v>
      </c>
      <c r="X35" s="74">
        <f t="shared" si="4"/>
        <v>0</v>
      </c>
      <c r="Y35" s="56">
        <f t="shared" si="5"/>
        <v>-0.18467726989980449</v>
      </c>
    </row>
    <row r="36" spans="2:25" x14ac:dyDescent="0.45">
      <c r="B36" s="109">
        <f>Input!C21</f>
        <v>80</v>
      </c>
      <c r="C36" s="56">
        <f t="shared" si="0"/>
        <v>-0.18467726989980449</v>
      </c>
      <c r="E36" s="43"/>
      <c r="F36" s="43"/>
      <c r="G36" s="43"/>
      <c r="O36" s="109">
        <f>Input!C21</f>
        <v>80</v>
      </c>
      <c r="P36" s="56">
        <f t="shared" si="1"/>
        <v>10</v>
      </c>
      <c r="R36" s="109">
        <f>Input!C21</f>
        <v>80</v>
      </c>
      <c r="S36" s="56">
        <f t="shared" si="2"/>
        <v>-1.8726725924753964</v>
      </c>
      <c r="U36" s="109">
        <f>Input!C21</f>
        <v>80</v>
      </c>
      <c r="V36" s="56">
        <f t="shared" si="3"/>
        <v>-8.3120046774244081</v>
      </c>
      <c r="X36" s="74">
        <f t="shared" si="4"/>
        <v>0</v>
      </c>
      <c r="Y36" s="56">
        <f t="shared" si="5"/>
        <v>-0.18467726989980449</v>
      </c>
    </row>
    <row r="37" spans="2:25" x14ac:dyDescent="0.45">
      <c r="B37" s="109">
        <f>Input!C22</f>
        <v>85</v>
      </c>
      <c r="C37" s="56">
        <f t="shared" si="0"/>
        <v>-0.18467726989980449</v>
      </c>
      <c r="E37" s="43"/>
      <c r="F37" s="43"/>
      <c r="G37" s="43"/>
      <c r="O37" s="109">
        <f>Input!C22</f>
        <v>85</v>
      </c>
      <c r="P37" s="56">
        <f t="shared" si="1"/>
        <v>15</v>
      </c>
      <c r="R37" s="109">
        <f>Input!C22</f>
        <v>85</v>
      </c>
      <c r="S37" s="56">
        <f t="shared" si="2"/>
        <v>-6.8726725924753964</v>
      </c>
      <c r="U37" s="109">
        <f>Input!C22</f>
        <v>85</v>
      </c>
      <c r="V37" s="56">
        <f t="shared" si="3"/>
        <v>-8.3120046774244081</v>
      </c>
      <c r="X37" s="74">
        <f t="shared" si="4"/>
        <v>0</v>
      </c>
      <c r="Y37" s="56">
        <f t="shared" si="5"/>
        <v>-0.18467726989980449</v>
      </c>
    </row>
    <row r="38" spans="2:25" x14ac:dyDescent="0.45">
      <c r="B38" s="109">
        <f>Input!C23</f>
        <v>90</v>
      </c>
      <c r="C38" s="56">
        <f t="shared" si="0"/>
        <v>-0.18467726989980449</v>
      </c>
      <c r="E38" s="43"/>
      <c r="F38" s="43"/>
      <c r="G38" s="43"/>
      <c r="O38" s="109">
        <f>Input!C23</f>
        <v>90</v>
      </c>
      <c r="P38" s="56">
        <f t="shared" si="1"/>
        <v>20</v>
      </c>
      <c r="R38" s="109">
        <f>Input!C23</f>
        <v>90</v>
      </c>
      <c r="S38" s="56">
        <f t="shared" si="2"/>
        <v>-11.872672592475396</v>
      </c>
      <c r="U38" s="109">
        <f>Input!C23</f>
        <v>90</v>
      </c>
      <c r="V38" s="56">
        <f t="shared" si="3"/>
        <v>-8.3120046774244081</v>
      </c>
      <c r="X38" s="74">
        <f t="shared" si="4"/>
        <v>0</v>
      </c>
      <c r="Y38" s="56">
        <f t="shared" si="5"/>
        <v>-0.18467726989980449</v>
      </c>
    </row>
    <row r="39" spans="2:25" x14ac:dyDescent="0.45">
      <c r="B39" s="109">
        <f>Input!C24</f>
        <v>95</v>
      </c>
      <c r="C39" s="56">
        <f t="shared" si="0"/>
        <v>-0.18467726989980449</v>
      </c>
      <c r="E39" s="43"/>
      <c r="F39" s="43"/>
      <c r="G39" s="43"/>
      <c r="O39" s="109">
        <f>Input!C24</f>
        <v>95</v>
      </c>
      <c r="P39" s="56">
        <f t="shared" si="1"/>
        <v>25</v>
      </c>
      <c r="R39" s="109">
        <f>Input!C24</f>
        <v>95</v>
      </c>
      <c r="S39" s="56">
        <f t="shared" si="2"/>
        <v>-16.872672592475396</v>
      </c>
      <c r="U39" s="109">
        <f>Input!C24</f>
        <v>95</v>
      </c>
      <c r="V39" s="56">
        <f t="shared" si="3"/>
        <v>-8.3120046774244081</v>
      </c>
      <c r="X39" s="74">
        <f t="shared" si="4"/>
        <v>0</v>
      </c>
      <c r="Y39" s="56">
        <f t="shared" si="5"/>
        <v>-0.18467726989980449</v>
      </c>
    </row>
    <row r="40" spans="2:25" x14ac:dyDescent="0.45">
      <c r="B40" s="109">
        <f>Input!C25</f>
        <v>100</v>
      </c>
      <c r="C40" s="56">
        <f t="shared" si="0"/>
        <v>-0.18467726989980449</v>
      </c>
      <c r="E40" s="43"/>
      <c r="F40" s="43"/>
      <c r="G40" s="43"/>
      <c r="O40" s="109">
        <f>Input!C25</f>
        <v>100</v>
      </c>
      <c r="P40" s="56">
        <f t="shared" si="1"/>
        <v>30</v>
      </c>
      <c r="R40" s="109">
        <f>Input!C25</f>
        <v>100</v>
      </c>
      <c r="S40" s="56">
        <f t="shared" si="2"/>
        <v>-21.872672592475396</v>
      </c>
      <c r="U40" s="109">
        <f>Input!C25</f>
        <v>100</v>
      </c>
      <c r="V40" s="56">
        <f t="shared" si="3"/>
        <v>-8.3120046774244081</v>
      </c>
      <c r="X40" s="74">
        <f t="shared" si="4"/>
        <v>0</v>
      </c>
      <c r="Y40" s="56">
        <f t="shared" si="5"/>
        <v>-0.18467726989980449</v>
      </c>
    </row>
    <row r="41" spans="2:25" x14ac:dyDescent="0.45">
      <c r="B41" s="109">
        <f>Input!C26</f>
        <v>105</v>
      </c>
      <c r="C41" s="56">
        <f t="shared" si="0"/>
        <v>-0.18467726989980449</v>
      </c>
      <c r="E41" s="43"/>
      <c r="F41" s="43"/>
      <c r="G41" s="43"/>
      <c r="O41" s="109">
        <f>Input!C26</f>
        <v>105</v>
      </c>
      <c r="P41" s="56">
        <f t="shared" si="1"/>
        <v>35</v>
      </c>
      <c r="R41" s="109">
        <f>Input!C26</f>
        <v>105</v>
      </c>
      <c r="S41" s="56">
        <f t="shared" si="2"/>
        <v>-26.872672592475396</v>
      </c>
      <c r="U41" s="109">
        <f>Input!C26</f>
        <v>105</v>
      </c>
      <c r="V41" s="56">
        <f t="shared" si="3"/>
        <v>-8.3120046774244081</v>
      </c>
      <c r="X41" s="74">
        <f t="shared" si="4"/>
        <v>0</v>
      </c>
      <c r="Y41" s="56">
        <f t="shared" si="5"/>
        <v>-0.18467726989980449</v>
      </c>
    </row>
    <row r="42" spans="2:25" x14ac:dyDescent="0.45">
      <c r="B42" s="109">
        <f>Input!C27</f>
        <v>110</v>
      </c>
      <c r="C42" s="56">
        <f t="shared" si="0"/>
        <v>-0.18467726989980449</v>
      </c>
      <c r="E42" s="43"/>
      <c r="F42" s="43"/>
      <c r="G42" s="43"/>
      <c r="O42" s="109">
        <f>Input!C27</f>
        <v>110</v>
      </c>
      <c r="P42" s="56">
        <f t="shared" si="1"/>
        <v>40</v>
      </c>
      <c r="R42" s="109">
        <f>Input!C27</f>
        <v>110</v>
      </c>
      <c r="S42" s="56">
        <f t="shared" si="2"/>
        <v>-31.872672592475396</v>
      </c>
      <c r="U42" s="109">
        <f>Input!C27</f>
        <v>110</v>
      </c>
      <c r="V42" s="56">
        <f t="shared" si="3"/>
        <v>-8.3120046774244081</v>
      </c>
      <c r="X42" s="74">
        <f t="shared" si="4"/>
        <v>0</v>
      </c>
      <c r="Y42" s="56">
        <f t="shared" si="5"/>
        <v>-0.18467726989980449</v>
      </c>
    </row>
    <row r="43" spans="2:25" x14ac:dyDescent="0.45">
      <c r="B43" s="109">
        <f>Input!C28</f>
        <v>115</v>
      </c>
      <c r="C43" s="56">
        <f t="shared" si="0"/>
        <v>-0.18467726989980804</v>
      </c>
      <c r="E43" s="43"/>
      <c r="F43" s="43"/>
      <c r="G43" s="43"/>
      <c r="O43" s="109">
        <f>Input!C28</f>
        <v>115</v>
      </c>
      <c r="P43" s="56">
        <f t="shared" si="1"/>
        <v>45</v>
      </c>
      <c r="R43" s="109">
        <f>Input!C28</f>
        <v>115</v>
      </c>
      <c r="S43" s="56">
        <f t="shared" si="2"/>
        <v>-36.872672592475396</v>
      </c>
      <c r="U43" s="109">
        <f>Input!C28</f>
        <v>115</v>
      </c>
      <c r="V43" s="56">
        <f t="shared" si="3"/>
        <v>-8.3120046774244081</v>
      </c>
      <c r="X43" s="74">
        <f t="shared" si="4"/>
        <v>0</v>
      </c>
      <c r="Y43" s="56">
        <f t="shared" si="5"/>
        <v>-0.18467726989980449</v>
      </c>
    </row>
    <row r="44" spans="2:25" x14ac:dyDescent="0.45">
      <c r="B44" s="109">
        <f>Input!C29</f>
        <v>120</v>
      </c>
      <c r="C44" s="56">
        <f t="shared" si="0"/>
        <v>-0.18467726989980804</v>
      </c>
      <c r="E44" s="43"/>
      <c r="F44" s="43"/>
      <c r="G44" s="43"/>
      <c r="O44" s="109">
        <f>Input!C29</f>
        <v>120</v>
      </c>
      <c r="P44" s="56">
        <f t="shared" si="1"/>
        <v>50</v>
      </c>
      <c r="R44" s="109">
        <f>Input!C29</f>
        <v>120</v>
      </c>
      <c r="S44" s="56">
        <f t="shared" si="2"/>
        <v>-41.872672592475396</v>
      </c>
      <c r="U44" s="109">
        <f>Input!C29</f>
        <v>120</v>
      </c>
      <c r="V44" s="56">
        <f t="shared" si="3"/>
        <v>-8.3120046774244081</v>
      </c>
      <c r="X44" s="74">
        <f t="shared" si="4"/>
        <v>0</v>
      </c>
      <c r="Y44" s="56">
        <f t="shared" si="5"/>
        <v>-0.18467726989980449</v>
      </c>
    </row>
    <row r="45" spans="2:25" x14ac:dyDescent="0.45">
      <c r="B45" s="109">
        <f>Input!C30</f>
        <v>125</v>
      </c>
      <c r="C45" s="56">
        <f t="shared" si="0"/>
        <v>-0.18467726989980804</v>
      </c>
      <c r="E45" s="43"/>
      <c r="F45" s="43"/>
      <c r="G45" s="43"/>
      <c r="O45" s="109">
        <f>Input!C30</f>
        <v>125</v>
      </c>
      <c r="P45" s="56">
        <f t="shared" si="1"/>
        <v>55</v>
      </c>
      <c r="R45" s="109">
        <f>Input!C30</f>
        <v>125</v>
      </c>
      <c r="S45" s="56">
        <f t="shared" si="2"/>
        <v>-46.872672592475396</v>
      </c>
      <c r="U45" s="109">
        <f>Input!C30</f>
        <v>125</v>
      </c>
      <c r="V45" s="56">
        <f t="shared" si="3"/>
        <v>-8.3120046774244081</v>
      </c>
      <c r="X45" s="74">
        <f t="shared" si="4"/>
        <v>0</v>
      </c>
      <c r="Y45" s="56">
        <f t="shared" si="5"/>
        <v>-0.18467726989980449</v>
      </c>
    </row>
    <row r="46" spans="2:25" x14ac:dyDescent="0.45">
      <c r="B46" s="109">
        <f>Input!C31</f>
        <v>130</v>
      </c>
      <c r="C46" s="56">
        <f t="shared" si="0"/>
        <v>-0.18467726989980804</v>
      </c>
      <c r="E46" s="43"/>
      <c r="F46" s="43"/>
      <c r="G46" s="43"/>
      <c r="O46" s="109">
        <f>Input!C31</f>
        <v>130</v>
      </c>
      <c r="P46" s="56">
        <f t="shared" si="1"/>
        <v>60</v>
      </c>
      <c r="R46" s="109">
        <f>Input!C31</f>
        <v>130</v>
      </c>
      <c r="S46" s="56">
        <f t="shared" si="2"/>
        <v>-51.872672592475396</v>
      </c>
      <c r="U46" s="109">
        <f>Input!C31</f>
        <v>130</v>
      </c>
      <c r="V46" s="56">
        <f t="shared" si="3"/>
        <v>-8.3120046774244081</v>
      </c>
      <c r="X46" s="74">
        <f t="shared" si="4"/>
        <v>0</v>
      </c>
      <c r="Y46" s="56">
        <f t="shared" si="5"/>
        <v>-0.18467726989980449</v>
      </c>
    </row>
    <row r="47" spans="2:25" x14ac:dyDescent="0.45">
      <c r="B47" s="109">
        <f>Input!C32</f>
        <v>135</v>
      </c>
      <c r="C47" s="56">
        <f t="shared" si="0"/>
        <v>-0.18467726989980804</v>
      </c>
      <c r="E47" s="43"/>
      <c r="F47" s="43"/>
      <c r="G47" s="43"/>
      <c r="O47" s="109">
        <f>Input!C32</f>
        <v>135</v>
      </c>
      <c r="P47" s="56">
        <f t="shared" si="1"/>
        <v>65</v>
      </c>
      <c r="R47" s="109">
        <f>Input!C32</f>
        <v>135</v>
      </c>
      <c r="S47" s="56">
        <f t="shared" si="2"/>
        <v>-56.872672592475396</v>
      </c>
      <c r="U47" s="109">
        <f>Input!C32</f>
        <v>135</v>
      </c>
      <c r="V47" s="56">
        <f t="shared" si="3"/>
        <v>-8.3120046774244081</v>
      </c>
      <c r="X47" s="74">
        <f t="shared" si="4"/>
        <v>0</v>
      </c>
      <c r="Y47" s="56">
        <f t="shared" si="5"/>
        <v>-0.18467726989980449</v>
      </c>
    </row>
    <row r="48" spans="2:25" x14ac:dyDescent="0.45">
      <c r="B48" s="110">
        <f>Input!C33</f>
        <v>140</v>
      </c>
      <c r="C48" s="57">
        <f t="shared" si="0"/>
        <v>-0.18467726989980804</v>
      </c>
      <c r="E48" s="43"/>
      <c r="F48" s="43"/>
      <c r="G48" s="43"/>
      <c r="O48" s="110">
        <f>Input!C33</f>
        <v>140</v>
      </c>
      <c r="P48" s="57">
        <f t="shared" si="1"/>
        <v>70</v>
      </c>
      <c r="R48" s="110">
        <f>Input!C33</f>
        <v>140</v>
      </c>
      <c r="S48" s="57">
        <f t="shared" si="2"/>
        <v>-61.872672592475396</v>
      </c>
      <c r="U48" s="110">
        <f>Input!C33</f>
        <v>140</v>
      </c>
      <c r="V48" s="57">
        <f t="shared" si="3"/>
        <v>-8.3120046774244081</v>
      </c>
      <c r="X48" s="75">
        <f t="shared" si="4"/>
        <v>0</v>
      </c>
      <c r="Y48" s="57">
        <f t="shared" si="5"/>
        <v>-0.18467726989980449</v>
      </c>
    </row>
    <row r="49" spans="2:7" x14ac:dyDescent="0.45">
      <c r="E49" s="43"/>
      <c r="F49" s="43"/>
      <c r="G49" s="43"/>
    </row>
    <row r="50" spans="2:7" x14ac:dyDescent="0.45">
      <c r="B50" s="296" t="s">
        <v>262</v>
      </c>
      <c r="C50" s="297">
        <f>-C9+C12</f>
        <v>-2.1846772698998045</v>
      </c>
      <c r="E50" s="43"/>
      <c r="F50" s="43"/>
      <c r="G50" s="43"/>
    </row>
  </sheetData>
  <conditionalFormatting sqref="Q48:W1048576 Q47:S48 Q1:W4 A1:N1 B4:C4 B6:C17 B5 A49:N49 T5:T18 D2:N18 A2:A48 Z1:XFD1048576 O14:P18 O6:P10 Q6:Q46 P3 R14:S18 U14:V18 B1:D2 C3:D3 W5:W47 B19:D48 G19:P48 R19:V48 X9:Y1048576 R6:S10 U6:V10 A51:N1048576 A50 D50:N50">
    <cfRule type="containsBlanks" dxfId="428" priority="28">
      <formula>LEN(TRIM(A1))=0</formula>
    </cfRule>
  </conditionalFormatting>
  <conditionalFormatting sqref="O1:P2 O49:P1048576">
    <cfRule type="containsBlanks" dxfId="427" priority="27">
      <formula>LEN(TRIM(O1))=0</formula>
    </cfRule>
  </conditionalFormatting>
  <conditionalFormatting sqref="O4:P4">
    <cfRule type="containsBlanks" dxfId="426" priority="26">
      <formula>LEN(TRIM(O4))=0</formula>
    </cfRule>
  </conditionalFormatting>
  <conditionalFormatting sqref="O3">
    <cfRule type="containsBlanks" dxfId="425" priority="23">
      <formula>LEN(TRIM(O3))=0</formula>
    </cfRule>
  </conditionalFormatting>
  <conditionalFormatting sqref="Q5">
    <cfRule type="containsBlanks" dxfId="424" priority="24">
      <formula>LEN(TRIM(Q5))=0</formula>
    </cfRule>
  </conditionalFormatting>
  <conditionalFormatting sqref="R3">
    <cfRule type="containsBlanks" dxfId="423" priority="20">
      <formula>LEN(TRIM(R3))=0</formula>
    </cfRule>
  </conditionalFormatting>
  <conditionalFormatting sqref="R4:S4 S3">
    <cfRule type="containsBlanks" dxfId="422" priority="21">
      <formula>LEN(TRIM(R3))=0</formula>
    </cfRule>
  </conditionalFormatting>
  <conditionalFormatting sqref="U3:V4">
    <cfRule type="containsBlanks" dxfId="421" priority="19">
      <formula>LEN(TRIM(U3))=0</formula>
    </cfRule>
  </conditionalFormatting>
  <conditionalFormatting sqref="X1:Y5">
    <cfRule type="containsBlanks" dxfId="420" priority="17">
      <formula>LEN(TRIM(X1))=0</formula>
    </cfRule>
  </conditionalFormatting>
  <conditionalFormatting sqref="X20:Y48">
    <cfRule type="containsBlanks" dxfId="419" priority="16">
      <formula>LEN(TRIM(X20))=0</formula>
    </cfRule>
  </conditionalFormatting>
  <conditionalFormatting sqref="Y19">
    <cfRule type="containsBlanks" dxfId="418" priority="13">
      <formula>LEN(TRIM(Y19))=0</formula>
    </cfRule>
  </conditionalFormatting>
  <conditionalFormatting sqref="X19">
    <cfRule type="containsBlanks" dxfId="417" priority="12">
      <formula>LEN(TRIM(X19))=0</formula>
    </cfRule>
  </conditionalFormatting>
  <conditionalFormatting sqref="Y20:Y48">
    <cfRule type="containsBlanks" dxfId="416" priority="15">
      <formula>LEN(TRIM(Y20))=0</formula>
    </cfRule>
  </conditionalFormatting>
  <conditionalFormatting sqref="Y19">
    <cfRule type="containsBlanks" dxfId="415" priority="14">
      <formula>LEN(TRIM(Y19))=0</formula>
    </cfRule>
  </conditionalFormatting>
  <conditionalFormatting sqref="X3:X4">
    <cfRule type="containsBlanks" dxfId="414" priority="11">
      <formula>LEN(TRIM(X3))=0</formula>
    </cfRule>
  </conditionalFormatting>
  <conditionalFormatting sqref="X5">
    <cfRule type="containsBlanks" dxfId="413" priority="10">
      <formula>LEN(TRIM(X5))=0</formula>
    </cfRule>
  </conditionalFormatting>
  <conditionalFormatting sqref="O5">
    <cfRule type="containsBlanks" dxfId="412" priority="8">
      <formula>LEN(TRIM(O5))=0</formula>
    </cfRule>
  </conditionalFormatting>
  <conditionalFormatting sqref="B3">
    <cfRule type="containsBlanks" dxfId="411" priority="7">
      <formula>LEN(TRIM(B3))=0</formula>
    </cfRule>
  </conditionalFormatting>
  <conditionalFormatting sqref="R5">
    <cfRule type="containsBlanks" dxfId="410" priority="6">
      <formula>LEN(TRIM(R5))=0</formula>
    </cfRule>
  </conditionalFormatting>
  <conditionalFormatting sqref="U5">
    <cfRule type="containsBlanks" dxfId="409" priority="5">
      <formula>LEN(TRIM(U5))=0</formula>
    </cfRule>
  </conditionalFormatting>
  <conditionalFormatting sqref="B50">
    <cfRule type="containsBlanks" dxfId="408" priority="2">
      <formula>LEN(TRIM(B50))=0</formula>
    </cfRule>
  </conditionalFormatting>
  <conditionalFormatting sqref="C50">
    <cfRule type="containsBlanks" dxfId="407" priority="1">
      <formula>LEN(TRIM(C50))=0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41</vt:i4>
      </vt:variant>
    </vt:vector>
  </HeadingPairs>
  <TitlesOfParts>
    <vt:vector size="41" baseType="lpstr">
      <vt:lpstr>Input</vt:lpstr>
      <vt:lpstr>Ableitung Optionspreise</vt:lpstr>
      <vt:lpstr>3</vt:lpstr>
      <vt:lpstr>4</vt:lpstr>
      <vt:lpstr>5</vt:lpstr>
      <vt:lpstr>6</vt:lpstr>
      <vt:lpstr>8-9</vt:lpstr>
      <vt:lpstr>10-11</vt:lpstr>
      <vt:lpstr>12-13</vt:lpstr>
      <vt:lpstr>14-15</vt:lpstr>
      <vt:lpstr>16-17</vt:lpstr>
      <vt:lpstr>18-19</vt:lpstr>
      <vt:lpstr>20</vt:lpstr>
      <vt:lpstr>21</vt:lpstr>
      <vt:lpstr>22</vt:lpstr>
      <vt:lpstr>23</vt:lpstr>
      <vt:lpstr>24</vt:lpstr>
      <vt:lpstr>25</vt:lpstr>
      <vt:lpstr>26</vt:lpstr>
      <vt:lpstr>27</vt:lpstr>
      <vt:lpstr>28</vt:lpstr>
      <vt:lpstr>29</vt:lpstr>
      <vt:lpstr>30</vt:lpstr>
      <vt:lpstr>31</vt:lpstr>
      <vt:lpstr>32</vt:lpstr>
      <vt:lpstr>33</vt:lpstr>
      <vt:lpstr>34</vt:lpstr>
      <vt:lpstr>35</vt:lpstr>
      <vt:lpstr>36</vt:lpstr>
      <vt:lpstr>37</vt:lpstr>
      <vt:lpstr>38</vt:lpstr>
      <vt:lpstr>39</vt:lpstr>
      <vt:lpstr>40</vt:lpstr>
      <vt:lpstr>41</vt:lpstr>
      <vt:lpstr>42</vt:lpstr>
      <vt:lpstr>43 Grund, Bullish und Bearish</vt:lpstr>
      <vt:lpstr>44 Überblick</vt:lpstr>
      <vt:lpstr>45 Neutral </vt:lpstr>
      <vt:lpstr>46 Überblick</vt:lpstr>
      <vt:lpstr>47-51</vt:lpstr>
      <vt:lpstr>53-60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Certified Financial Engineer</dc:title>
  <dc:creator>Joachim Häcker und Dietmar Ernst</dc:creator>
  <cp:lastModifiedBy>jhaecker</cp:lastModifiedBy>
  <cp:lastPrinted>2021-12-18T21:15:00Z</cp:lastPrinted>
  <dcterms:created xsi:type="dcterms:W3CDTF">2019-12-01T17:44:18Z</dcterms:created>
  <dcterms:modified xsi:type="dcterms:W3CDTF">2022-05-09T16:57:13Z</dcterms:modified>
</cp:coreProperties>
</file>